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documentos\2022\PUBLICACIONES PAGINA WEB\"/>
    </mc:Choice>
  </mc:AlternateContent>
  <bookViews>
    <workbookView xWindow="0" yWindow="0" windowWidth="24000" windowHeight="9435" activeTab="1"/>
  </bookViews>
  <sheets>
    <sheet name="Instructivo" sheetId="2" r:id="rId1"/>
    <sheet name="Estado SCI" sheetId="1" r:id="rId2"/>
    <sheet name="Conclusión" sheetId="5" r:id="rId3"/>
    <sheet name="Hoja1" sheetId="6" state="hidden" r:id="rId4"/>
  </sheets>
  <externalReferences>
    <externalReference r:id="rId5"/>
  </externalReferences>
  <definedNames>
    <definedName name="_xlnm._FilterDatabase" localSheetId="3" hidden="1">Hoja1!$A$1:$K$45</definedName>
  </definedNames>
  <calcPr calcId="152511"/>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17" i="6"/>
  <c r="H2" i="6"/>
  <c r="H44" i="6"/>
  <c r="H7" i="6"/>
  <c r="H36" i="6"/>
  <c r="H5" i="6"/>
  <c r="H18" i="6"/>
  <c r="H38" i="6"/>
  <c r="H33" i="6"/>
  <c r="H24" i="6"/>
  <c r="H8" i="6"/>
  <c r="H39" i="6"/>
  <c r="H35" i="6"/>
  <c r="H40" i="6"/>
  <c r="H20" i="6"/>
  <c r="H21" i="6"/>
  <c r="H41" i="6"/>
  <c r="H37" i="6"/>
  <c r="H30" i="6"/>
  <c r="H10" i="6"/>
  <c r="H6" i="6"/>
  <c r="H42" i="6"/>
  <c r="H11" i="6"/>
  <c r="H29" i="6"/>
  <c r="H12" i="6"/>
  <c r="H13" i="6"/>
  <c r="H27" i="6"/>
  <c r="H3" i="6"/>
  <c r="H26" i="6"/>
  <c r="H19" i="6"/>
  <c r="H15" i="6"/>
  <c r="H32" i="6"/>
  <c r="H22" i="6"/>
  <c r="H45" i="6"/>
  <c r="H14" i="6"/>
  <c r="H16" i="6"/>
  <c r="H4" i="6"/>
  <c r="H31" i="6"/>
  <c r="H28" i="6"/>
  <c r="H9" i="6"/>
  <c r="H25" i="6"/>
  <c r="H43" i="6"/>
  <c r="H23" i="6"/>
  <c r="H34" i="6"/>
  <c r="E30" i="5" l="1"/>
  <c r="E26" i="5"/>
  <c r="G26" i="5"/>
  <c r="E28" i="5"/>
  <c r="G28" i="5"/>
  <c r="G34" i="5"/>
  <c r="E34" i="5"/>
  <c r="E32" i="5"/>
  <c r="G32" i="5"/>
  <c r="M8" i="5" l="1"/>
</calcChain>
</file>

<file path=xl/sharedStrings.xml><?xml version="1.0" encoding="utf-8"?>
<sst xmlns="http://schemas.openxmlformats.org/spreadsheetml/2006/main" count="491" uniqueCount="235">
  <si>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</si>
  <si>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</si>
  <si>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</si>
  <si>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</si>
  <si>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</si>
  <si>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</si>
  <si>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</si>
  <si>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</si>
  <si>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</si>
  <si>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</si>
  <si>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</si>
  <si>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</si>
  <si>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</si>
  <si>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</si>
  <si>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</si>
  <si>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</si>
  <si>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</si>
  <si>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</si>
  <si>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</si>
  <si>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</si>
  <si>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</si>
  <si>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</si>
  <si>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</si>
  <si>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</si>
  <si>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</si>
  <si>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</si>
  <si>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</si>
  <si>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</si>
  <si>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</si>
  <si>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</si>
  <si>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</si>
  <si>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</si>
  <si>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</si>
  <si>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</si>
  <si>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</si>
  <si>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</si>
  <si>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</si>
  <si>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</si>
  <si>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</si>
  <si>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</si>
  <si>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</si>
  <si>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</si>
  <si>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</si>
  <si>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</si>
  <si>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</si>
  <si>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</si>
  <si>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</si>
  <si>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</si>
  <si>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</si>
  <si>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</si>
  <si>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</si>
  <si>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</si>
  <si>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</si>
  <si>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</si>
  <si>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</si>
  <si>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</si>
  <si>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</si>
  <si>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</si>
  <si>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</si>
  <si>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</si>
  <si>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</si>
  <si>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</si>
  <si>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</si>
  <si>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</si>
  <si>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</si>
  <si>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</si>
  <si>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</si>
  <si>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</si>
  <si>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</si>
  <si>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</si>
  <si>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</si>
  <si>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</si>
  <si>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</si>
  <si>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</si>
  <si>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</si>
  <si>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</si>
  <si>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</si>
  <si>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</si>
  <si>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</si>
  <si>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</si>
  <si>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</si>
  <si>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</si>
  <si>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</si>
  <si>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</si>
  <si>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</si>
  <si>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</si>
  <si>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</si>
  <si>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</si>
  <si>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</si>
  <si>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</si>
  <si>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</si>
  <si>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</si>
  <si>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</si>
  <si>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</si>
  <si>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</si>
  <si>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</si>
  <si>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</si>
  <si>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</si>
  <si>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</si>
  <si>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</si>
  <si>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</si>
  <si>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</si>
  <si>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</si>
  <si>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</si>
  <si>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</si>
  <si>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</si>
  <si>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</si>
  <si>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</si>
  <si>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</si>
  <si>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</si>
  <si>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</si>
  <si>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</si>
  <si>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</si>
  <si>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 xml:space="preserve">Seguimiento al control </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</si>
  <si>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</si>
  <si>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</si>
  <si>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</si>
  <si>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</si>
  <si>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</si>
  <si>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</si>
  <si>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</si>
  <si>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</si>
  <si>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</si>
  <si>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</si>
  <si>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</si>
  <si>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</si>
  <si>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</si>
  <si>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</si>
  <si>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</si>
  <si>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</si>
  <si>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</si>
  <si>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</si>
  <si>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</si>
  <si>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</si>
  <si>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</si>
  <si>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</si>
  <si>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</si>
  <si>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</si>
  <si>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</si>
  <si>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</si>
  <si>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</si>
  <si>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</si>
  <si>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</si>
  <si>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</si>
  <si>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</si>
  <si>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</si>
  <si>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</si>
  <si>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</si>
  <si>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</si>
  <si>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</si>
  <si>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</si>
  <si>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</si>
  <si>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</si>
  <si>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</si>
  <si>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</si>
  <si>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</si>
  <si>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</si>
  <si>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</si>
  <si>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</si>
  <si>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</si>
  <si>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</si>
  <si>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</si>
  <si>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</si>
  <si>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</si>
  <si>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</si>
  <si>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</si>
  <si>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</si>
  <si>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</si>
  <si>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</si>
  <si>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</si>
  <si>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</si>
  <si>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</si>
  <si>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</si>
  <si>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</si>
  <si>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</si>
  <si>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</si>
  <si>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</si>
  <si>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</si>
  <si>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</si>
  <si>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</si>
  <si>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</si>
  <si>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se encuentra publicado en pagina web , ,www.cenabastos.gov.co en el link transparencia y acceso a la informacion publica.</t>
  </si>
  <si>
    <t>Se encuentran desactualizados los procesos de la entidad, no acordes a la planta de personal ni al enlace con el MIPG ,Requerimentos, oficios ,correos,Enviados a la diferente dependencia,quejas elevadasla a la Procuraduria General de la Nacion,DAFP,CGR.</t>
  </si>
  <si>
    <t>No se han efectuado en los dos ultimos años.Se evidencia en las Solicitudes de elaboracion PIC remitidas por la dependencia de control interno.</t>
  </si>
  <si>
    <t>No se ha evaluado el desempeño a los demas funcionarios ni se toma en cuenta para la contratacion la relacion de costo benficio, dada la situacion real de la entidad.</t>
  </si>
  <si>
    <t>los Existentes no son los adecuados , ni Participativos de los Ciudadanos.publicados en pagina Web www.cenabastos.gov.co en el link transparencia y acceso a la informacion publica.</t>
  </si>
  <si>
    <t>No se han elborado riesgos asociados con las tecnologias, ni se han implementado las tics, ni las estrategias de gobierno en linea.</t>
  </si>
  <si>
    <t>Se cuenta con un Mapa de Riesgos y un Plan anticorrupcion publicados en pagina web www.cenabastos.gov.co,en el link transparencia y acceso a la informacion publica. .Se evidencian los seguiminetos efectuados en la pagina web de la entidad www.cenabastos.gov.coInformacion Desactualizada.no se aplican los criterios de entrega de oportunidad,integralidad,pertinencia.No se aplican debidamente las lineas de defensa.</t>
  </si>
  <si>
    <t>os lideres no aplican debidamente las lineas de defensa.La desactualizacion de los Procesos.Se Sugiere los ajustes y Actualizacion de la Informacion en espera de resultados.</t>
  </si>
  <si>
    <t>los lideres no aplican debidamente las lineas de defensa.La desactualizacion de los Procesos.Se Sugiere los ajustes y Actualizacion de la Informacion en espera de resultados.</t>
  </si>
  <si>
    <t>En el presente periodo no se han realizado comites de cartera.No se evidencian soluciones a la situacion de la entidad,no hay un plan de Accion a seguir,ni un plan de contingencia.se hace caso omiso a las observaciones de control interno.</t>
  </si>
  <si>
    <t xml:space="preserve"> Falta de Autocontrol, y planes de mejoramiento individual.y de la plicacion correcta de las lineas de defensa.</t>
  </si>
  <si>
    <t>Elaboracion de Planes de Mejoramiento CGR .A si mismo se hacen sugerencias,recordatorios en la realizacion de actividades que conlleven al mejoramiento continuo y al cumplimiento de los compromisos adquiridos.</t>
  </si>
  <si>
    <t>Falta de compromiso en la revision de las funciones asignadas y responsabilidades de cada trabajador,de una cultura de Autocontrol, y la aplicación de las lineas Defensa,ni los controles acorde a los compromisos de  de cada area.</t>
  </si>
  <si>
    <t>No se han elaborado Planes De Contingencia,se elaboro un mapa de riesgos y anticorrupcio. Los cuales ha sugerido y requerido esta dependencia CI,se evidencia en los correos enviados las diferentes Areas</t>
  </si>
  <si>
    <t>seencuentra elaborado un Mapa de riesgos, No hay un documento que incluya los asociados con las tecnologias de la informacion y las comunicaciones.</t>
  </si>
  <si>
    <t>Publicado en Pagina web de la Entidad. www.cenabastos.gov.co en el link transparencia y acceso a la informacion public</t>
  </si>
  <si>
    <t>Informacion Desactualizada.no se aplican los criterios de entrega de oportunidad,integralidad,pertinencia.</t>
  </si>
  <si>
    <t>Plataformas, oficios ,Radicados comunicaciones.</t>
  </si>
  <si>
    <t xml:space="preserve">Es Prioritario establecer los lineamientos.  </t>
  </si>
  <si>
    <t>Seguimientos a los Planes de Mejoramiento CGR. PAAC.y atencion al ciudadano, certificacion ekogui,seguimiento   sigep, elaboracion dilingeciamiento de desempeño institucional MIPG,Furag,Informe de actividades Camara de representantes, auditorias,evaluacion independiente de control interno formato dafp,evaluacion de control interno contable  contaduria general de la Nacion elaborados por la dependencia de Control Interno</t>
  </si>
  <si>
    <t>Publicados en pagina web www.cenabastos.gov.co en el link transparencia y acceso a la informacion publica.pendientes las estrategias de Gobierno en linea,TICS.</t>
  </si>
  <si>
    <t>No hay plan de tratamiento de Riesgos informaticos, ni se han Implementado las TICS ,Ni Las estrategias de Gobierno En Linea.Los Corrreos institucionales presentan Fallas continuas.</t>
  </si>
  <si>
    <t>seguimientos a los indicadores de Ingresos , Cartera, Inventarios, Escrituracion,Gestion.</t>
  </si>
  <si>
    <t>Elaboracion de Planes de Mejoramiento CGR.Oficios radicados con copia procuraduria,CGR,DAFP solicitudes,seguimientos a la gestion.Reiteraciones de ,con El fin de dar cumplimiento a los mismos.</t>
  </si>
  <si>
    <t>Acorde a los Periodos se efectuan los seguimientos .se remiten correos,oficios con el fin de dar cumplimiento a los mismos.</t>
  </si>
  <si>
    <t>seguimientos a los indicadores de Ingresos , Cartera, Inventarios, Escrituracion,Gestion. ,plan de auditorias.no se estblece atravez del comité departamental o municipal.</t>
  </si>
  <si>
    <t>Es pertinente la participacion,e Inclusion.No existe una invitacion formal.</t>
  </si>
  <si>
    <t>Acorde a los seguimientos de la gestion, Areas Criticas De La Entidad, Cartera, Inventarios , Escrituracion, Generacion de Ingresos.</t>
  </si>
  <si>
    <t>Mediante controles mensuales,medicion de indicadores de seguimientos de la gestion Areas Criticas de La Entidad, Cartera morosa, Inventarios , Escrituracion,ventas Generacion de Ingresos..Esnecesariocrear controles nuevos y mejorar los ya existentes.</t>
  </si>
  <si>
    <t>Mediante Seguimientos a La Gestion, al Mapa de riesgos, PAAC.oficios ,mensajes sobre la actualizacion de los mismos.</t>
  </si>
  <si>
    <t>No se han Realizado como se diseñaron Previamente, por diferentes factores, Demora en el Suministro de la infromacion solictada de insumo, la Pandemia,El Deficit de la Entidad.se sugieren Planes de contingencia sin obtener respuesta.</t>
  </si>
  <si>
    <t>no se gestionaan a tiempo, hay informacion desactualizada.</t>
  </si>
  <si>
    <t>.PQR, Correo atencion.pagina web .Sin Estar formalizados.,no se realizan encuestas de satisfacion del servicio , o necesidades.</t>
  </si>
  <si>
    <t>,En la cenabastos s,a no se cuenta con una  institucionalidad de las lineas de defensa se debe aplicar el control de la gerencia es la primera línea de defensa en la gestión de riesgos; las varias funciones de supervisión de riesgos, controles y cumplimiento establecidas por la administración, son la segunda línea de defensa; y el aseguramiento independiente es la tercera.</t>
  </si>
  <si>
    <t>Al no haberse implementado tot almente el MIPG - el MECI  no se ha articulado  al Sistema de Gestión en el marco del Modelo Integrado de Planeación y Gestión -MIPG, a través de los mecanismos de control y verificación que permiten el cumplimiento de los objetivos y el logro de resultados de las entidades..un ambiente de control débil origina que sin importar el adecuado diseño del resto de los componentes, no se pueda confiar totalmente en estos. El ambiente de control fija el nivel de disciplina y estructura que hay en la empresa..los procesos se encuentran desactualizados sin puntos de control adecuados.</t>
  </si>
  <si>
    <t>se encuentra publicado en pagina web ,www.cenabastos.gov.co,en el link transparencia y acceso a la informacion publica. pero no se ha socializado, formalizado, ni implmentado adecuadamente.</t>
  </si>
  <si>
    <t>El proceso de valoración del riesgoen Cenabastos s,a  la información que necesita para determinar qué riesgos de negocio y de fraude deben atenderse,no es la adecuada y en su caso, las medidas a tomar. Estará a decisión de la empresa realizar las gestiones para tratar riesgos específicos o, en su caso, asumir dichos riesgos, debido al costo beneficio que implica mitigarlos o eliminarlos.
El proceso de valoración de riesgo normalmente trata las siguientes cuestiones: cambios en el entorno operativo, nuevas tecnologías, crecimiento rápido, contrataciones de personal de alta dirección, nuevos modelos de negocio, productos o actividades.</t>
  </si>
  <si>
    <t>Las actividades de control  no se cuenta con las politicas y directrices adecuadas para el fortalecimiento del control interno.</t>
  </si>
  <si>
    <t>La Utilización de la información generada. En este punto se analizará la forma de comunicar por la empresa la información , los informes resultantes y su utilización en la empresa, así como los informes a los responsables del gobierno de la empresa y a terceros, tales como las autoridades regulatorias.Utilización de la información generada. En este punto se analizará la forma de comunicar por la empresa la información financiera, los informes resultantes y su utilización en la empresa, así como los informes a los responsables del gobierno de la empresa y a terceros.</t>
  </si>
  <si>
    <t>CENABASTOS S,A</t>
  </si>
  <si>
    <t>Mediante controles mensuales,medicion de indicadores de seguimientos de la gestion Areas Criticas de La Entidad, Cartera morosa, Inventarios , Escrituracion,ventas Generacion de Ingresos..Esnecesariocrear controles nuevos y mejorar los ya existentes.Mediante controles mensuales,medicion de indicadores de seguimientos de la gestion Areas Criticas de La Entidad, Cartera morosa, Inventarios , Escrituracion,ventas Generacion de Ingresos..Esnecesariocrear controles nuevos y mejorar los ya existentes</t>
  </si>
  <si>
    <t>En el periodo  se realizaron procesos de desvinculacion.(juridica)</t>
  </si>
  <si>
    <t>Si hay Vinculaciones de libre Nombramiento y Remocion,No se  ha Aplicado la Carrera Administrativa.</t>
  </si>
  <si>
    <t>Se presentan informes a la Junta Directiva de Cenabastos s,a, .ante la solicitud de copias de actas y considerandos.Igualmente la dependencia de control interno elabora y presenta los  informes que esten a su cargo en las fechas programadas.</t>
  </si>
  <si>
    <t>La iliquidez de la Empresa, la Informacion suministrada  No Oportunamente,pertinentemente, ni Integra el Acceso a la misma.No elaboran los planes sugeridos por Control Interno.se inicia el proceso de liquidacion</t>
  </si>
  <si>
    <t>JUNIO 30-DICIEMBRE 31 DE DE 2021</t>
  </si>
  <si>
    <t>La No Generacion de Ingresos de proyectos nuevos ni de los existentes , los Altos porcentajes de Cartera Morosa  el bajo indicador de Escrituracion Lo que genera demandas por condominio y predial, bajo indicador de  Ventas de locales ,los inventarios desactualizados,El Deficit de la Entidad, el no pago de salarios cumplidamente ,el atraso de los mismos.la baja calificacion en de desempeño MIPG 44.9.</t>
  </si>
  <si>
    <t>No se encuentran Asignados funcionarios a los cargos de Planeacion, ni Tesoreria..Existe un Organigrama publicada en www.cenabastos.gov.co</t>
  </si>
  <si>
    <t>NO estan trabajando los componentes de manera integrada, El componnente de control ; de manera general se puede comentar que los controles internos no dan con las respuestas necesarias de la administración para mitigar un factor identificado de riesgo o alcanzar un objetivo de contro.Se requieren requieren establecer controles internos nuevos o mejorar los ya existentes para mitigar los riesgos asociados .</t>
  </si>
  <si>
    <t>hay una extructura organizacional estructura organizacional No adecuada para llevar a cabo los objetivos, No se ponen en practica los niveles de autoridad y responsabilidad para cada uno de los elementos de esta estructura.la ausencia de un autocontrol y una cultura de control interno.Al no haberse implementado tot almente el MIPG - el MECI  no se ha articulado  al Sistema de Gestión en el marco del Modelo Integrado de Planeación y Gestión -MIPG, a través de los mecanismos de control y verificación que permiten el cumplimiento de los objetivos y el logro de resultados de las entidades..un ambiente de control débil origina que sin importar el adecuado diseño del resto de los componentes, no se pueda confiar totalmente en estos. El ambiente de control fija el nivel de disciplina y estructura que hay en la empresa..los procesos se encuentran desactualizados sin puntos de control adecuados.</t>
  </si>
  <si>
    <t xml:space="preserve"> El enlace con el MIPG .los procesos se encuentran desactualizados.Evidencia los seguimientos ,presentacion y dllingenciamiento Certificados  Furag ,MIPG.constancias.Se encuentra elaborado , implementado pero no se han hecho las reformas acorde al cambio de la extructura organizacional, </t>
  </si>
  <si>
    <t>Para el periodo A 31dediciembre 2021 no se encuentra implementado un Plan  de Accion, NI un Cronograma de actividades a seguir.se elabora un plan anticorrupcion publicadoen pagina web.Se Evidencia en  solicitudes remitidas por CONTROL INTERNO ;Mensajes , Oficios Radicados,quejas interpuestas.</t>
  </si>
  <si>
    <t>Para el periodo 2021 no se implemento un Plan  de Accion, NI un Cronograma de actividades a seguir.Se Evidencia en  solicitudes remitidas por CONTROL INTERNO ;Mensajes , Oficios Radicados,quejas interpuestas.</t>
  </si>
  <si>
    <t>Accion ,ni planes de contingencia,.se ha realizado un plan anticorrupcion el cual se encuentra publicado en pagina web ,www.cenabastos.gov.co,en el link transparencia y acceso a la informacion publica. pero no se ha formalizado adecuadamente.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</si>
</sst>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9" x14ac:knownFonts="1">
    <font>
      <sz val="11"/>
      <color theme="1"/>
      <name val="Calibri"/>
      <family val="2"/>
      <scheme val="minor"/>
    </font>
    <font>
      <b/>
      <sz val="12"/>
      <name val="Arial"/>
      <family val="2"/>
    </font>
    <font>
      <sz val="11"/>
      <color theme="1"/>
      <name val="Calibri"/>
      <family val="2"/>
      <scheme val="minor"/>
    </font>
    <font>
      <sz val="11"/>
      <color theme="0"/>
      <name val="Calibri"/>
      <family val="2"/>
      <scheme val="minor"/>
    </font>
    <font>
      <b/>
      <sz val="12"/>
      <color theme="0"/>
      <name val="Arial"/>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sz val="12"/>
      <color theme="1"/>
      <name val="Arial"/>
      <family val="2"/>
    </font>
    <font>
      <sz val="10"/>
      <color theme="1"/>
      <name val="Calibri"/>
      <family val="2"/>
      <scheme val="minor"/>
    </font>
    <font>
      <sz val="10"/>
      <color theme="1"/>
      <name val="Arial Narrow"/>
      <family val="2"/>
    </font>
    <font>
      <b/>
      <sz val="11"/>
      <name val="Arial Narrow"/>
      <family val="2"/>
    </font>
    <font>
      <sz val="10"/>
      <name val="Arial Narrow"/>
      <family val="2"/>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
      <sz val="14"/>
      <color theme="1"/>
      <name val="Arial"/>
      <family val="2"/>
    </font>
  </fonts>
  <fills count="16">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79">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9" fontId="2" fillId="0" borderId="0" applyFont="0" applyFill="0" applyBorder="0" applyAlignment="0" applyProtection="0"/>
    <xf numFmtId="0" fontId="18" fillId="0" borderId="0"/>
    <xf numFmtId="0" fontId="22" fillId="0" borderId="0"/>
    <xf numFmtId="0" fontId="26" fillId="0" borderId="0"/>
  </cellStyleXfs>
  <cellXfs count="266">
    <xf numFmtId="0" fontId="0" fillId="0" borderId="0" xfId="0"/>
    <xf numFmtId="0" fontId="0" fillId="3" borderId="0" xfId="0" applyFill="1"/>
    <xf numFmtId="0" fontId="0" fillId="3" borderId="17" xfId="0" applyFill="1" applyBorder="1"/>
    <xf numFmtId="0" fontId="0" fillId="3" borderId="18" xfId="0" applyFill="1" applyBorder="1"/>
    <xf numFmtId="0" fontId="0" fillId="3" borderId="19" xfId="0" applyFill="1" applyBorder="1"/>
    <xf numFmtId="0" fontId="0" fillId="3" borderId="20" xfId="0" applyFill="1" applyBorder="1"/>
    <xf numFmtId="0" fontId="0" fillId="3" borderId="0" xfId="0" applyFill="1" applyBorder="1"/>
    <xf numFmtId="0" fontId="5" fillId="3" borderId="0" xfId="0" applyFont="1" applyFill="1" applyBorder="1" applyAlignment="1">
      <alignment horizontal="center"/>
    </xf>
    <xf numFmtId="0" fontId="0" fillId="3" borderId="21" xfId="0" applyFill="1" applyBorder="1"/>
    <xf numFmtId="164" fontId="5" fillId="3" borderId="0" xfId="0" applyNumberFormat="1" applyFont="1" applyFill="1" applyBorder="1" applyAlignment="1">
      <alignment horizontal="center"/>
    </xf>
    <xf numFmtId="0" fontId="6" fillId="3" borderId="0" xfId="0" applyFont="1" applyFill="1" applyBorder="1" applyAlignment="1">
      <alignment vertical="center"/>
    </xf>
    <xf numFmtId="0" fontId="8" fillId="3" borderId="0" xfId="0" applyFont="1" applyFill="1" applyBorder="1" applyAlignment="1">
      <alignment horizontal="center" vertical="center"/>
    </xf>
    <xf numFmtId="0" fontId="9" fillId="3" borderId="0" xfId="0" applyFont="1" applyFill="1" applyBorder="1"/>
    <xf numFmtId="0" fontId="7" fillId="3" borderId="0" xfId="0" applyFont="1" applyFill="1" applyBorder="1" applyAlignment="1">
      <alignment horizontal="center" vertical="center"/>
    </xf>
    <xf numFmtId="0" fontId="1" fillId="3" borderId="30" xfId="0" applyFont="1" applyFill="1" applyBorder="1" applyAlignment="1">
      <alignment horizontal="center" vertical="center"/>
    </xf>
    <xf numFmtId="0" fontId="1" fillId="3" borderId="0" xfId="0" applyFont="1" applyFill="1" applyBorder="1" applyAlignment="1">
      <alignment horizontal="center" vertical="center"/>
    </xf>
    <xf numFmtId="0" fontId="10" fillId="3" borderId="0" xfId="0" applyFont="1" applyFill="1" applyBorder="1" applyAlignment="1">
      <alignment wrapText="1"/>
    </xf>
    <xf numFmtId="0" fontId="11" fillId="3" borderId="0" xfId="0" applyFont="1" applyFill="1" applyAlignment="1">
      <alignment wrapText="1"/>
    </xf>
    <xf numFmtId="0" fontId="0" fillId="0" borderId="0" xfId="0" applyBorder="1"/>
    <xf numFmtId="0" fontId="4" fillId="0" borderId="0" xfId="0" applyFont="1" applyFill="1" applyBorder="1" applyAlignment="1">
      <alignment vertical="center"/>
    </xf>
    <xf numFmtId="9" fontId="1" fillId="0" borderId="0" xfId="0" applyNumberFormat="1" applyFont="1" applyFill="1" applyBorder="1" applyAlignment="1">
      <alignment vertical="center"/>
    </xf>
    <xf numFmtId="0" fontId="1" fillId="3" borderId="21" xfId="0" applyFont="1" applyFill="1" applyBorder="1" applyAlignment="1">
      <alignment vertical="center"/>
    </xf>
    <xf numFmtId="0" fontId="1" fillId="3" borderId="0" xfId="0" applyFont="1" applyFill="1" applyBorder="1" applyAlignment="1">
      <alignment vertical="center"/>
    </xf>
    <xf numFmtId="0" fontId="0" fillId="0" borderId="0" xfId="0" applyFill="1" applyBorder="1"/>
    <xf numFmtId="0" fontId="0" fillId="0" borderId="3" xfId="0" applyBorder="1"/>
    <xf numFmtId="0" fontId="4" fillId="3" borderId="0" xfId="0" applyFont="1" applyFill="1" applyBorder="1" applyAlignment="1">
      <alignment vertical="center"/>
    </xf>
    <xf numFmtId="0" fontId="1" fillId="3" borderId="0" xfId="0" applyFont="1" applyFill="1" applyBorder="1" applyAlignment="1">
      <alignment horizontal="left" vertical="center"/>
    </xf>
    <xf numFmtId="0" fontId="13" fillId="3" borderId="0" xfId="0" applyFont="1" applyFill="1" applyBorder="1" applyAlignment="1">
      <alignment vertical="center"/>
    </xf>
    <xf numFmtId="0" fontId="14" fillId="3" borderId="0" xfId="0" applyFont="1" applyFill="1" applyBorder="1"/>
    <xf numFmtId="0" fontId="0" fillId="3" borderId="32" xfId="0" applyFill="1" applyBorder="1"/>
    <xf numFmtId="0" fontId="0" fillId="3" borderId="33" xfId="0" applyFill="1" applyBorder="1"/>
    <xf numFmtId="0" fontId="0" fillId="3" borderId="34" xfId="0" applyFill="1" applyBorder="1"/>
    <xf numFmtId="0" fontId="17" fillId="0" borderId="0" xfId="0" applyFont="1" applyBorder="1" applyAlignment="1">
      <alignment horizontal="center" wrapText="1"/>
    </xf>
    <xf numFmtId="0" fontId="4" fillId="3" borderId="0" xfId="0" applyFont="1" applyFill="1" applyBorder="1" applyAlignment="1">
      <alignment horizontal="center" vertical="center" wrapText="1"/>
    </xf>
    <xf numFmtId="0" fontId="3" fillId="3" borderId="0" xfId="0" applyFont="1" applyFill="1" applyBorder="1"/>
    <xf numFmtId="0" fontId="4" fillId="3" borderId="0" xfId="0" applyFont="1" applyFill="1" applyBorder="1" applyAlignment="1">
      <alignment horizontal="left" vertical="center"/>
    </xf>
    <xf numFmtId="9" fontId="4" fillId="3" borderId="0" xfId="0" applyNumberFormat="1" applyFont="1" applyFill="1" applyBorder="1" applyAlignment="1">
      <alignment horizontal="center" vertical="center"/>
    </xf>
    <xf numFmtId="0" fontId="3" fillId="3" borderId="0" xfId="0" applyFont="1" applyFill="1" applyBorder="1" applyAlignment="1">
      <alignment horizontal="left"/>
    </xf>
    <xf numFmtId="0" fontId="21" fillId="0" borderId="0" xfId="3" applyFont="1" applyProtection="1"/>
    <xf numFmtId="0" fontId="5" fillId="3" borderId="0" xfId="0" applyFont="1" applyFill="1"/>
    <xf numFmtId="0" fontId="5" fillId="0" borderId="0" xfId="0" applyFont="1"/>
    <xf numFmtId="0" fontId="29" fillId="0" borderId="0" xfId="0" applyFont="1" applyAlignment="1">
      <alignment vertical="top"/>
    </xf>
    <xf numFmtId="49" fontId="29" fillId="0" borderId="0" xfId="0" applyNumberFormat="1" applyFont="1" applyAlignment="1">
      <alignment horizontal="center" vertical="top"/>
    </xf>
    <xf numFmtId="0" fontId="21" fillId="3" borderId="0" xfId="3" applyFont="1" applyFill="1" applyBorder="1" applyProtection="1"/>
    <xf numFmtId="0" fontId="21" fillId="3" borderId="50" xfId="3" applyFont="1" applyFill="1" applyBorder="1" applyAlignment="1" applyProtection="1">
      <alignment vertical="top" wrapText="1"/>
    </xf>
    <xf numFmtId="0" fontId="21" fillId="3" borderId="0" xfId="3" applyFont="1" applyFill="1" applyBorder="1" applyAlignment="1" applyProtection="1">
      <alignment vertical="top" wrapText="1"/>
    </xf>
    <xf numFmtId="0" fontId="21" fillId="3" borderId="51" xfId="3" applyFont="1" applyFill="1" applyBorder="1" applyAlignment="1" applyProtection="1">
      <alignment vertical="top" wrapText="1"/>
    </xf>
    <xf numFmtId="0" fontId="21" fillId="3" borderId="50" xfId="3" applyFont="1" applyFill="1" applyBorder="1" applyAlignment="1" applyProtection="1">
      <alignment horizontal="left" vertical="top"/>
    </xf>
    <xf numFmtId="0" fontId="21" fillId="3" borderId="51" xfId="3" applyFont="1" applyFill="1" applyBorder="1" applyAlignment="1" applyProtection="1">
      <alignment horizontal="left" vertical="top"/>
    </xf>
    <xf numFmtId="0" fontId="21" fillId="3" borderId="50" xfId="3" applyFont="1" applyFill="1" applyBorder="1" applyProtection="1"/>
    <xf numFmtId="0" fontId="27" fillId="3" borderId="0" xfId="4" applyFont="1" applyFill="1" applyBorder="1" applyAlignment="1" applyProtection="1">
      <alignment horizontal="left" vertical="top" wrapText="1" readingOrder="1"/>
    </xf>
    <xf numFmtId="0" fontId="21" fillId="3" borderId="51" xfId="3" applyFont="1" applyFill="1" applyBorder="1" applyProtection="1"/>
    <xf numFmtId="0" fontId="21" fillId="3" borderId="63" xfId="3" applyFont="1" applyFill="1" applyBorder="1" applyProtection="1"/>
    <xf numFmtId="0" fontId="21" fillId="3" borderId="64" xfId="3" applyFont="1" applyFill="1" applyBorder="1" applyProtection="1"/>
    <xf numFmtId="0" fontId="21" fillId="3" borderId="65" xfId="3" applyFont="1" applyFill="1" applyBorder="1" applyProtection="1"/>
    <xf numFmtId="0" fontId="27" fillId="3" borderId="0" xfId="0" applyFont="1" applyFill="1" applyBorder="1" applyAlignment="1" applyProtection="1">
      <alignment horizontal="left" vertical="center" wrapText="1"/>
    </xf>
    <xf numFmtId="0" fontId="28" fillId="3" borderId="0" xfId="0" applyFont="1" applyFill="1" applyBorder="1" applyAlignment="1" applyProtection="1">
      <alignment horizontal="left" vertical="top" wrapText="1"/>
    </xf>
    <xf numFmtId="0" fontId="21" fillId="3" borderId="0" xfId="3" quotePrefix="1" applyFont="1" applyFill="1" applyBorder="1" applyAlignment="1" applyProtection="1">
      <alignment horizontal="left" vertical="center" wrapText="1"/>
    </xf>
    <xf numFmtId="0" fontId="21" fillId="3" borderId="51" xfId="3" applyFont="1" applyFill="1" applyBorder="1" applyAlignment="1" applyProtection="1"/>
    <xf numFmtId="0" fontId="25" fillId="3" borderId="0" xfId="3" applyFont="1" applyFill="1" applyBorder="1" applyAlignment="1" applyProtection="1">
      <alignment horizontal="left" vertical="center" wrapText="1"/>
    </xf>
    <xf numFmtId="0" fontId="21" fillId="3" borderId="0" xfId="3" applyFont="1" applyFill="1" applyBorder="1" applyAlignment="1" applyProtection="1">
      <alignment horizontal="left" vertical="center" wrapText="1"/>
    </xf>
    <xf numFmtId="0" fontId="5" fillId="3" borderId="0" xfId="0" applyFont="1" applyFill="1" applyAlignment="1">
      <alignment vertical="center"/>
    </xf>
    <xf numFmtId="0" fontId="5" fillId="0" borderId="0" xfId="0" applyFont="1" applyAlignment="1">
      <alignment vertical="center"/>
    </xf>
    <xf numFmtId="0" fontId="6" fillId="3" borderId="0" xfId="0" applyFont="1" applyFill="1"/>
    <xf numFmtId="0" fontId="6" fillId="3" borderId="0" xfId="0" applyNumberFormat="1" applyFont="1" applyFill="1"/>
    <xf numFmtId="0" fontId="6" fillId="0" borderId="0" xfId="0" applyFont="1" applyAlignment="1">
      <alignment vertical="top"/>
    </xf>
    <xf numFmtId="0" fontId="6" fillId="0" borderId="0" xfId="0" applyNumberFormat="1" applyFont="1" applyAlignment="1">
      <alignment vertical="top"/>
    </xf>
    <xf numFmtId="0" fontId="6" fillId="0" borderId="0" xfId="0" applyNumberFormat="1" applyFont="1"/>
    <xf numFmtId="0" fontId="35" fillId="8" borderId="11" xfId="0" applyFont="1" applyFill="1" applyBorder="1" applyAlignment="1">
      <alignment horizontal="center" vertical="top" wrapText="1"/>
    </xf>
    <xf numFmtId="49" fontId="36" fillId="4" borderId="7" xfId="0" applyNumberFormat="1" applyFont="1" applyFill="1" applyBorder="1" applyAlignment="1">
      <alignment horizontal="center" vertical="center" wrapText="1"/>
    </xf>
    <xf numFmtId="0" fontId="36" fillId="4" borderId="7" xfId="0" applyFont="1" applyFill="1" applyBorder="1" applyAlignment="1">
      <alignment horizontal="center" vertical="center" wrapText="1"/>
    </xf>
    <xf numFmtId="0" fontId="36" fillId="4" borderId="10" xfId="0" applyFont="1" applyFill="1" applyBorder="1" applyAlignment="1">
      <alignment horizontal="center" vertical="center" wrapText="1"/>
    </xf>
    <xf numFmtId="0" fontId="36" fillId="4" borderId="5" xfId="0" applyFont="1" applyFill="1" applyBorder="1" applyAlignment="1">
      <alignment horizontal="center" vertical="center" wrapText="1"/>
    </xf>
    <xf numFmtId="0" fontId="37" fillId="0" borderId="2" xfId="0" applyFont="1" applyBorder="1" applyAlignment="1">
      <alignment horizontal="center" vertical="center" wrapText="1"/>
    </xf>
    <xf numFmtId="0" fontId="37" fillId="0" borderId="2" xfId="0" applyFont="1" applyBorder="1" applyAlignment="1">
      <alignment horizontal="left" vertical="center" wrapText="1"/>
    </xf>
    <xf numFmtId="0" fontId="37" fillId="0" borderId="3" xfId="0" applyFont="1" applyBorder="1" applyAlignment="1">
      <alignment horizontal="center" vertical="center" wrapText="1"/>
    </xf>
    <xf numFmtId="0" fontId="38" fillId="0" borderId="3" xfId="0" applyFont="1" applyFill="1" applyBorder="1" applyAlignment="1">
      <alignment horizontal="left" vertical="center" wrapText="1"/>
    </xf>
    <xf numFmtId="0" fontId="37" fillId="0" borderId="3" xfId="0" applyFont="1" applyBorder="1" applyAlignment="1">
      <alignment horizontal="left" vertical="center" wrapText="1"/>
    </xf>
    <xf numFmtId="0" fontId="37" fillId="0" borderId="4" xfId="0" applyFont="1" applyBorder="1" applyAlignment="1">
      <alignment horizontal="center" vertical="center" wrapText="1"/>
    </xf>
    <xf numFmtId="0" fontId="37" fillId="0" borderId="4" xfId="0" applyFont="1" applyBorder="1" applyAlignment="1">
      <alignment horizontal="left" vertical="center" wrapText="1"/>
    </xf>
    <xf numFmtId="0" fontId="37" fillId="0" borderId="3" xfId="0" applyFont="1" applyFill="1" applyBorder="1" applyAlignment="1">
      <alignment horizontal="center" vertical="center" wrapText="1"/>
    </xf>
    <xf numFmtId="0" fontId="37" fillId="0" borderId="2" xfId="0" applyFont="1" applyFill="1" applyBorder="1" applyAlignment="1">
      <alignment horizontal="left" vertical="center" wrapText="1"/>
    </xf>
    <xf numFmtId="0" fontId="7" fillId="12" borderId="3" xfId="0" applyFont="1" applyFill="1" applyBorder="1" applyAlignment="1">
      <alignment horizontal="center" vertical="center" wrapText="1"/>
    </xf>
    <xf numFmtId="0" fontId="40" fillId="0" borderId="0" xfId="0" applyFont="1" applyBorder="1" applyAlignment="1">
      <alignment horizontal="center" wrapText="1"/>
    </xf>
    <xf numFmtId="0" fontId="7" fillId="14"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41" fillId="2" borderId="3" xfId="0" applyFont="1" applyFill="1" applyBorder="1" applyAlignment="1">
      <alignment horizontal="center" vertical="center"/>
    </xf>
    <xf numFmtId="0" fontId="33" fillId="0" borderId="3" xfId="0" applyFont="1" applyFill="1" applyBorder="1" applyAlignment="1">
      <alignment horizontal="center" vertical="center"/>
    </xf>
    <xf numFmtId="0" fontId="43" fillId="0" borderId="0" xfId="0" applyFont="1" applyBorder="1" applyAlignment="1">
      <alignment horizontal="center"/>
    </xf>
    <xf numFmtId="0" fontId="42" fillId="11" borderId="3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20" fillId="3" borderId="0" xfId="2" applyNumberFormat="1" applyFont="1" applyFill="1" applyBorder="1" applyAlignment="1" applyProtection="1">
      <alignment vertical="center" wrapText="1"/>
    </xf>
    <xf numFmtId="0" fontId="28" fillId="3" borderId="0" xfId="2" applyFont="1" applyFill="1" applyBorder="1" applyAlignment="1" applyProtection="1">
      <alignment vertical="center" wrapText="1"/>
    </xf>
    <xf numFmtId="0" fontId="29" fillId="0" borderId="0" xfId="0" applyNumberFormat="1" applyFont="1" applyAlignment="1" applyProtection="1">
      <alignment horizontal="center" vertical="top"/>
      <protection hidden="1"/>
    </xf>
    <xf numFmtId="0" fontId="31" fillId="0" borderId="70" xfId="0" applyFont="1" applyBorder="1" applyAlignment="1" applyProtection="1">
      <alignment horizontal="center" vertical="center" wrapText="1"/>
      <protection hidden="1"/>
    </xf>
    <xf numFmtId="0" fontId="6" fillId="0" borderId="0" xfId="0" applyNumberFormat="1" applyFont="1" applyAlignment="1" applyProtection="1">
      <alignment horizontal="center" vertical="top"/>
      <protection hidden="1"/>
    </xf>
    <xf numFmtId="0" fontId="32" fillId="0" borderId="9" xfId="0" applyFont="1" applyFill="1" applyBorder="1" applyAlignment="1" applyProtection="1">
      <alignment horizontal="center" vertical="center" wrapText="1"/>
      <protection hidden="1"/>
    </xf>
    <xf numFmtId="49" fontId="6" fillId="0" borderId="0" xfId="0" applyNumberFormat="1" applyFont="1" applyAlignment="1" applyProtection="1">
      <alignment horizontal="center" vertical="top"/>
      <protection hidden="1"/>
    </xf>
    <xf numFmtId="0" fontId="31" fillId="0" borderId="9" xfId="0" applyFont="1" applyBorder="1" applyAlignment="1" applyProtection="1">
      <alignment horizontal="center" vertical="center" wrapText="1"/>
      <protection hidden="1"/>
    </xf>
    <xf numFmtId="0" fontId="31" fillId="0" borderId="71" xfId="0" applyFont="1" applyBorder="1" applyAlignment="1" applyProtection="1">
      <alignment horizontal="center" vertical="center" wrapText="1"/>
      <protection hidden="1"/>
    </xf>
    <xf numFmtId="0" fontId="6" fillId="0" borderId="0" xfId="0" applyNumberFormat="1" applyFont="1" applyAlignment="1" applyProtection="1">
      <alignment vertical="top"/>
      <protection hidden="1"/>
    </xf>
    <xf numFmtId="0" fontId="31" fillId="0" borderId="70" xfId="0" applyFont="1" applyFill="1" applyBorder="1" applyAlignment="1" applyProtection="1">
      <alignment horizontal="center" vertical="center" wrapText="1"/>
      <protection hidden="1"/>
    </xf>
    <xf numFmtId="0" fontId="34" fillId="0" borderId="2" xfId="0" applyFont="1" applyBorder="1" applyAlignment="1" applyProtection="1">
      <alignment horizontal="center" vertical="center" wrapText="1"/>
      <protection locked="0"/>
    </xf>
    <xf numFmtId="0" fontId="29" fillId="0" borderId="70" xfId="0" applyFont="1" applyBorder="1" applyAlignment="1" applyProtection="1">
      <alignment horizontal="left" vertical="center" wrapText="1"/>
      <protection locked="0"/>
    </xf>
    <xf numFmtId="0" fontId="34" fillId="0" borderId="3"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left" vertical="center" wrapText="1"/>
      <protection locked="0"/>
    </xf>
    <xf numFmtId="0" fontId="34" fillId="0" borderId="3" xfId="0" applyFont="1" applyBorder="1" applyAlignment="1" applyProtection="1">
      <alignment horizontal="center" vertical="center" wrapText="1"/>
      <protection locked="0"/>
    </xf>
    <xf numFmtId="0" fontId="29" fillId="0" borderId="9" xfId="0" applyFont="1" applyBorder="1" applyAlignment="1" applyProtection="1">
      <alignment horizontal="left" vertical="center" wrapText="1"/>
      <protection locked="0"/>
    </xf>
    <xf numFmtId="0" fontId="34" fillId="0" borderId="4" xfId="0" applyFont="1" applyBorder="1" applyAlignment="1" applyProtection="1">
      <alignment horizontal="center" vertical="center" wrapText="1"/>
      <protection locked="0"/>
    </xf>
    <xf numFmtId="0" fontId="29" fillId="0" borderId="71" xfId="0" applyFont="1" applyBorder="1" applyAlignment="1" applyProtection="1">
      <alignment horizontal="left" vertical="center" wrapText="1"/>
      <protection locked="0"/>
    </xf>
    <xf numFmtId="0" fontId="34" fillId="0" borderId="2" xfId="0" applyFont="1" applyFill="1" applyBorder="1" applyAlignment="1" applyProtection="1">
      <alignment horizontal="center" vertical="center" wrapText="1"/>
      <protection locked="0"/>
    </xf>
    <xf numFmtId="0" fontId="29" fillId="0" borderId="70" xfId="0" applyFont="1" applyFill="1" applyBorder="1" applyAlignment="1" applyProtection="1">
      <alignment horizontal="left" vertical="center" wrapText="1"/>
      <protection locked="0"/>
    </xf>
    <xf numFmtId="9" fontId="33" fillId="2" borderId="26" xfId="0" applyNumberFormat="1" applyFont="1" applyFill="1" applyBorder="1" applyAlignment="1" applyProtection="1">
      <alignment horizontal="center" vertical="center"/>
      <protection hidden="1"/>
    </xf>
    <xf numFmtId="0" fontId="33" fillId="0" borderId="3" xfId="0" applyFont="1" applyFill="1" applyBorder="1" applyAlignment="1" applyProtection="1">
      <alignment horizontal="center" vertical="center"/>
      <protection hidden="1"/>
    </xf>
    <xf numFmtId="9" fontId="12" fillId="13" borderId="3" xfId="0" applyNumberFormat="1" applyFont="1" applyFill="1" applyBorder="1" applyAlignment="1" applyProtection="1">
      <alignment horizontal="center" vertical="center"/>
      <protection hidden="1"/>
    </xf>
    <xf numFmtId="49" fontId="45" fillId="3" borderId="2" xfId="0" applyNumberFormat="1" applyFont="1" applyFill="1" applyBorder="1" applyAlignment="1" applyProtection="1">
      <alignment horizontal="center" vertical="center" wrapText="1"/>
      <protection locked="0"/>
    </xf>
    <xf numFmtId="49" fontId="45" fillId="3" borderId="3" xfId="0" applyNumberFormat="1" applyFont="1" applyFill="1" applyBorder="1" applyAlignment="1" applyProtection="1">
      <alignment horizontal="center" vertical="center" wrapText="1"/>
      <protection locked="0"/>
    </xf>
    <xf numFmtId="49" fontId="45" fillId="3" borderId="4" xfId="0" applyNumberFormat="1" applyFont="1" applyFill="1" applyBorder="1" applyAlignment="1" applyProtection="1">
      <alignment horizontal="center" vertical="center" wrapText="1"/>
      <protection locked="0"/>
    </xf>
    <xf numFmtId="49" fontId="16" fillId="4" borderId="7" xfId="0" applyNumberFormat="1" applyFont="1" applyFill="1" applyBorder="1" applyAlignment="1" applyProtection="1">
      <alignment horizontal="center" vertical="center" wrapText="1"/>
      <protection hidden="1"/>
    </xf>
    <xf numFmtId="0" fontId="16" fillId="4" borderId="7" xfId="0" applyFont="1" applyFill="1" applyBorder="1" applyAlignment="1" applyProtection="1">
      <alignment horizontal="center" vertical="center" wrapText="1"/>
      <protection hidden="1"/>
    </xf>
    <xf numFmtId="0" fontId="16" fillId="4" borderId="10" xfId="0" applyFont="1" applyFill="1" applyBorder="1" applyAlignment="1" applyProtection="1">
      <alignment horizontal="center" vertical="center" wrapText="1"/>
      <protection hidden="1"/>
    </xf>
    <xf numFmtId="0" fontId="16" fillId="4" borderId="72"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35" fillId="8" borderId="14" xfId="0" applyNumberFormat="1" applyFont="1" applyFill="1" applyBorder="1" applyAlignment="1">
      <alignment horizontal="center" vertical="center" wrapText="1"/>
    </xf>
    <xf numFmtId="49" fontId="35" fillId="8" borderId="11" xfId="0" applyNumberFormat="1" applyFont="1" applyFill="1" applyBorder="1" applyAlignment="1">
      <alignment horizontal="center" vertical="center" wrapText="1"/>
    </xf>
    <xf numFmtId="0" fontId="48" fillId="3" borderId="0" xfId="0" applyFont="1" applyFill="1" applyBorder="1"/>
    <xf numFmtId="0" fontId="29" fillId="3" borderId="9" xfId="0" applyFont="1" applyFill="1" applyBorder="1" applyAlignment="1" applyProtection="1">
      <alignment horizontal="left" vertical="center" wrapText="1"/>
      <protection locked="0"/>
    </xf>
    <xf numFmtId="0" fontId="21" fillId="3" borderId="50" xfId="3" applyFont="1" applyFill="1" applyBorder="1" applyAlignment="1" applyProtection="1">
      <alignment horizontal="left" vertical="top" wrapText="1"/>
    </xf>
    <xf numFmtId="0" fontId="21" fillId="3" borderId="0" xfId="3" applyFont="1" applyFill="1" applyBorder="1" applyAlignment="1" applyProtection="1">
      <alignment horizontal="left" vertical="top" wrapText="1"/>
    </xf>
    <xf numFmtId="0" fontId="21" fillId="3" borderId="51" xfId="3" applyFont="1" applyFill="1" applyBorder="1" applyAlignment="1" applyProtection="1">
      <alignment horizontal="left" vertical="top" wrapText="1"/>
    </xf>
    <xf numFmtId="0" fontId="21" fillId="3" borderId="0" xfId="3" applyFont="1" applyFill="1" applyBorder="1" applyAlignment="1" applyProtection="1"/>
    <xf numFmtId="0" fontId="27" fillId="3" borderId="68" xfId="0" applyFont="1" applyFill="1" applyBorder="1" applyAlignment="1" applyProtection="1">
      <alignment horizontal="left" vertical="center" wrapText="1"/>
    </xf>
    <xf numFmtId="0" fontId="27" fillId="3" borderId="69" xfId="0" applyFont="1" applyFill="1" applyBorder="1" applyAlignment="1" applyProtection="1">
      <alignment horizontal="left" vertical="center" wrapText="1"/>
    </xf>
    <xf numFmtId="0" fontId="28" fillId="0" borderId="60" xfId="3" applyFont="1" applyFill="1" applyBorder="1" applyAlignment="1" applyProtection="1">
      <alignment horizontal="left" vertical="center" wrapText="1"/>
    </xf>
    <xf numFmtId="0" fontId="28" fillId="0" borderId="61" xfId="3" applyFont="1" applyFill="1" applyBorder="1" applyAlignment="1" applyProtection="1">
      <alignment horizontal="left" vertical="center" wrapText="1"/>
    </xf>
    <xf numFmtId="0" fontId="15" fillId="2" borderId="35" xfId="2" applyNumberFormat="1" applyFont="1" applyFill="1" applyBorder="1" applyAlignment="1" applyProtection="1">
      <alignment horizontal="center" vertical="center" wrapText="1"/>
    </xf>
    <xf numFmtId="0" fontId="15" fillId="2" borderId="36" xfId="2" applyNumberFormat="1" applyFont="1" applyFill="1" applyBorder="1" applyAlignment="1" applyProtection="1">
      <alignment horizontal="center" vertical="center" wrapText="1"/>
    </xf>
    <xf numFmtId="0" fontId="20" fillId="6" borderId="41" xfId="2" applyNumberFormat="1" applyFont="1" applyFill="1" applyBorder="1" applyAlignment="1" applyProtection="1">
      <alignment horizontal="center" vertical="center"/>
    </xf>
    <xf numFmtId="0" fontId="20" fillId="6" borderId="42" xfId="2" applyNumberFormat="1" applyFont="1" applyFill="1" applyBorder="1" applyAlignment="1" applyProtection="1">
      <alignment horizontal="center" vertical="center"/>
    </xf>
    <xf numFmtId="0" fontId="21" fillId="0" borderId="47" xfId="2" applyFont="1" applyFill="1" applyBorder="1" applyAlignment="1" applyProtection="1">
      <alignment horizontal="justify" vertical="center" wrapText="1"/>
    </xf>
    <xf numFmtId="0" fontId="21" fillId="0" borderId="48" xfId="2" applyFont="1" applyFill="1" applyBorder="1" applyAlignment="1" applyProtection="1">
      <alignment horizontal="justify" vertical="center" wrapText="1"/>
    </xf>
    <xf numFmtId="0" fontId="20" fillId="7" borderId="43" xfId="2" applyNumberFormat="1" applyFont="1" applyFill="1" applyBorder="1" applyAlignment="1" applyProtection="1">
      <alignment horizontal="center" vertical="center" wrapText="1"/>
    </xf>
    <xf numFmtId="0" fontId="20" fillId="7" borderId="44" xfId="2" applyNumberFormat="1" applyFont="1" applyFill="1" applyBorder="1" applyAlignment="1" applyProtection="1">
      <alignment horizontal="center" vertical="center"/>
    </xf>
    <xf numFmtId="0" fontId="21" fillId="0" borderId="44" xfId="2" applyFont="1" applyFill="1" applyBorder="1" applyAlignment="1" applyProtection="1">
      <alignment horizontal="justify" vertical="center" wrapText="1"/>
    </xf>
    <xf numFmtId="0" fontId="21" fillId="0" borderId="45" xfId="2" applyFont="1" applyFill="1" applyBorder="1" applyAlignment="1" applyProtection="1">
      <alignment horizontal="justify" vertical="center" wrapText="1"/>
    </xf>
    <xf numFmtId="0" fontId="30" fillId="3" borderId="62" xfId="2" applyNumberFormat="1" applyFont="1" applyFill="1" applyBorder="1" applyAlignment="1" applyProtection="1">
      <alignment horizontal="center" vertical="center" wrapText="1"/>
    </xf>
    <xf numFmtId="0" fontId="19" fillId="3" borderId="62" xfId="2" applyFont="1" applyFill="1" applyBorder="1" applyAlignment="1" applyProtection="1">
      <alignment horizontal="center" vertical="center" wrapText="1"/>
    </xf>
    <xf numFmtId="0" fontId="15" fillId="2" borderId="37" xfId="2" applyNumberFormat="1" applyFont="1" applyFill="1" applyBorder="1" applyAlignment="1" applyProtection="1">
      <alignment horizontal="center" vertical="center" wrapText="1"/>
    </xf>
    <xf numFmtId="0" fontId="20" fillId="13" borderId="38" xfId="2" applyNumberFormat="1" applyFont="1" applyFill="1" applyBorder="1" applyAlignment="1" applyProtection="1">
      <alignment horizontal="center" vertical="center"/>
    </xf>
    <xf numFmtId="0" fontId="20" fillId="13" borderId="39" xfId="2" applyNumberFormat="1" applyFont="1" applyFill="1" applyBorder="1" applyAlignment="1" applyProtection="1">
      <alignment horizontal="center" vertical="center"/>
    </xf>
    <xf numFmtId="0" fontId="21" fillId="0" borderId="39" xfId="2" applyFont="1" applyFill="1" applyBorder="1" applyAlignment="1" applyProtection="1">
      <alignment horizontal="justify" vertical="center" wrapText="1"/>
    </xf>
    <xf numFmtId="0" fontId="21" fillId="0" borderId="40" xfId="2" applyFont="1" applyFill="1" applyBorder="1" applyAlignment="1" applyProtection="1">
      <alignment horizontal="justify" vertical="center" wrapText="1"/>
    </xf>
    <xf numFmtId="0" fontId="27" fillId="3" borderId="66" xfId="4" applyFont="1" applyFill="1" applyBorder="1" applyAlignment="1" applyProtection="1">
      <alignment horizontal="left" vertical="center" wrapText="1" readingOrder="1"/>
    </xf>
    <xf numFmtId="0" fontId="27" fillId="3" borderId="67" xfId="4" applyFont="1" applyFill="1" applyBorder="1" applyAlignment="1" applyProtection="1">
      <alignment horizontal="left" vertical="center" wrapText="1" readingOrder="1"/>
    </xf>
    <xf numFmtId="0" fontId="28" fillId="0" borderId="56" xfId="3" applyFont="1" applyFill="1" applyBorder="1" applyAlignment="1" applyProtection="1">
      <alignment horizontal="left" vertical="center" wrapText="1"/>
    </xf>
    <xf numFmtId="0" fontId="28" fillId="0" borderId="57" xfId="3" applyFont="1" applyFill="1" applyBorder="1" applyAlignment="1" applyProtection="1">
      <alignment horizontal="left" vertical="center" wrapText="1"/>
    </xf>
    <xf numFmtId="0" fontId="27" fillId="3" borderId="58" xfId="0" applyFont="1" applyFill="1" applyBorder="1" applyAlignment="1" applyProtection="1">
      <alignment horizontal="left" vertical="center" wrapText="1"/>
    </xf>
    <xf numFmtId="0" fontId="27" fillId="3" borderId="59" xfId="0" applyFont="1" applyFill="1" applyBorder="1" applyAlignment="1" applyProtection="1">
      <alignment horizontal="left" vertical="center" wrapText="1"/>
    </xf>
    <xf numFmtId="0" fontId="28" fillId="0" borderId="60" xfId="3" applyFont="1" applyFill="1" applyBorder="1" applyAlignment="1" applyProtection="1">
      <alignment horizontal="left" vertical="top" wrapText="1"/>
    </xf>
    <xf numFmtId="0" fontId="28" fillId="0" borderId="61" xfId="3" applyFont="1" applyFill="1" applyBorder="1" applyAlignment="1" applyProtection="1">
      <alignment horizontal="left" vertical="top" wrapText="1"/>
    </xf>
    <xf numFmtId="0" fontId="23" fillId="0" borderId="49" xfId="3" applyFont="1" applyBorder="1" applyAlignment="1" applyProtection="1">
      <alignment horizontal="center" vertical="center" wrapText="1"/>
    </xf>
    <xf numFmtId="0" fontId="23" fillId="0" borderId="46" xfId="3" applyFont="1" applyBorder="1" applyAlignment="1" applyProtection="1">
      <alignment horizontal="center" vertical="center" wrapText="1"/>
    </xf>
    <xf numFmtId="0" fontId="23" fillId="0" borderId="8" xfId="3" applyFont="1" applyBorder="1" applyAlignment="1" applyProtection="1">
      <alignment horizontal="center" vertical="center" wrapText="1"/>
    </xf>
    <xf numFmtId="0" fontId="21" fillId="0" borderId="50" xfId="3" quotePrefix="1" applyFont="1" applyBorder="1" applyAlignment="1" applyProtection="1">
      <alignment horizontal="left" vertical="center" wrapText="1"/>
    </xf>
    <xf numFmtId="0" fontId="21" fillId="0" borderId="0" xfId="3" quotePrefix="1" applyFont="1" applyBorder="1" applyAlignment="1" applyProtection="1">
      <alignment horizontal="left" vertical="center" wrapText="1"/>
    </xf>
    <xf numFmtId="0" fontId="21" fillId="0" borderId="51" xfId="3" quotePrefix="1" applyFont="1" applyBorder="1" applyAlignment="1" applyProtection="1">
      <alignment horizontal="left" vertical="center" wrapText="1"/>
    </xf>
    <xf numFmtId="0" fontId="24" fillId="3" borderId="50" xfId="3" quotePrefix="1" applyFont="1" applyFill="1" applyBorder="1" applyAlignment="1" applyProtection="1">
      <alignment horizontal="left" vertical="top" wrapText="1"/>
    </xf>
    <xf numFmtId="0" fontId="20" fillId="3" borderId="0" xfId="3" quotePrefix="1" applyFont="1" applyFill="1" applyBorder="1" applyAlignment="1" applyProtection="1">
      <alignment horizontal="left" vertical="top" wrapText="1"/>
    </xf>
    <xf numFmtId="0" fontId="20" fillId="3" borderId="51" xfId="3" quotePrefix="1" applyFont="1" applyFill="1" applyBorder="1" applyAlignment="1" applyProtection="1">
      <alignment horizontal="left" vertical="top" wrapText="1"/>
    </xf>
    <xf numFmtId="0" fontId="21" fillId="3" borderId="50" xfId="3" quotePrefix="1" applyFont="1" applyFill="1" applyBorder="1" applyAlignment="1" applyProtection="1">
      <alignment horizontal="left" vertical="top" wrapText="1"/>
    </xf>
    <xf numFmtId="0" fontId="21" fillId="3" borderId="0" xfId="3" quotePrefix="1" applyFont="1" applyFill="1" applyBorder="1" applyAlignment="1" applyProtection="1">
      <alignment horizontal="left" vertical="top" wrapText="1"/>
    </xf>
    <xf numFmtId="0" fontId="21" fillId="3" borderId="51" xfId="3" quotePrefix="1" applyFont="1" applyFill="1" applyBorder="1" applyAlignment="1" applyProtection="1">
      <alignment horizontal="left" vertical="top" wrapText="1"/>
    </xf>
    <xf numFmtId="0" fontId="27" fillId="15" borderId="52" xfId="4" applyFont="1" applyFill="1" applyBorder="1" applyAlignment="1" applyProtection="1">
      <alignment horizontal="center" vertical="center" wrapText="1"/>
    </xf>
    <xf numFmtId="0" fontId="27" fillId="15" borderId="53" xfId="4" applyFont="1" applyFill="1" applyBorder="1" applyAlignment="1" applyProtection="1">
      <alignment horizontal="center" vertical="center" wrapText="1"/>
    </xf>
    <xf numFmtId="0" fontId="27" fillId="15" borderId="54" xfId="3" applyFont="1" applyFill="1" applyBorder="1" applyAlignment="1" applyProtection="1">
      <alignment horizontal="center" vertical="center"/>
    </xf>
    <xf numFmtId="0" fontId="27" fillId="15" borderId="55" xfId="3" applyFont="1" applyFill="1" applyBorder="1" applyAlignment="1" applyProtection="1">
      <alignment horizontal="center" vertical="center"/>
    </xf>
    <xf numFmtId="49" fontId="36" fillId="4" borderId="0" xfId="0" applyNumberFormat="1" applyFont="1" applyFill="1" applyBorder="1" applyAlignment="1">
      <alignment horizontal="center" vertical="center"/>
    </xf>
    <xf numFmtId="0" fontId="35" fillId="10" borderId="11" xfId="0" applyFont="1" applyFill="1" applyBorder="1" applyAlignment="1">
      <alignment horizontal="center" vertical="center" wrapText="1"/>
    </xf>
    <xf numFmtId="0" fontId="35" fillId="10" borderId="12" xfId="0" applyFont="1" applyFill="1" applyBorder="1" applyAlignment="1">
      <alignment horizontal="center" vertical="center" wrapText="1"/>
    </xf>
    <xf numFmtId="0" fontId="35" fillId="10" borderId="13" xfId="0" applyFont="1" applyFill="1" applyBorder="1" applyAlignment="1">
      <alignment horizontal="center" vertical="center" wrapText="1"/>
    </xf>
    <xf numFmtId="49" fontId="35" fillId="10" borderId="14" xfId="0" applyNumberFormat="1" applyFont="1" applyFill="1" applyBorder="1" applyAlignment="1">
      <alignment horizontal="center" vertical="center" wrapText="1"/>
    </xf>
    <xf numFmtId="49" fontId="35" fillId="10" borderId="15" xfId="0" applyNumberFormat="1" applyFont="1" applyFill="1" applyBorder="1" applyAlignment="1">
      <alignment horizontal="center" vertical="center" wrapText="1"/>
    </xf>
    <xf numFmtId="49" fontId="35" fillId="10" borderId="16" xfId="0" applyNumberFormat="1" applyFont="1" applyFill="1" applyBorder="1" applyAlignment="1">
      <alignment horizontal="center" vertical="center" wrapText="1"/>
    </xf>
    <xf numFmtId="0" fontId="35" fillId="8" borderId="11" xfId="0" applyFont="1" applyFill="1" applyBorder="1" applyAlignment="1">
      <alignment horizontal="center" vertical="center" wrapText="1"/>
    </xf>
    <xf numFmtId="0" fontId="35" fillId="8" borderId="12" xfId="0" applyFont="1" applyFill="1" applyBorder="1" applyAlignment="1">
      <alignment horizontal="center" vertical="center" wrapText="1"/>
    </xf>
    <xf numFmtId="0" fontId="35" fillId="8" borderId="13" xfId="0" applyFont="1" applyFill="1" applyBorder="1" applyAlignment="1">
      <alignment horizontal="center" vertical="center" wrapText="1"/>
    </xf>
    <xf numFmtId="49" fontId="35" fillId="8" borderId="14" xfId="0" applyNumberFormat="1" applyFont="1" applyFill="1" applyBorder="1" applyAlignment="1">
      <alignment horizontal="center" vertical="center" wrapText="1"/>
    </xf>
    <xf numFmtId="49" fontId="35" fillId="8" borderId="15" xfId="0" applyNumberFormat="1" applyFont="1" applyFill="1" applyBorder="1" applyAlignment="1">
      <alignment horizontal="center" vertical="center" wrapText="1"/>
    </xf>
    <xf numFmtId="49" fontId="35" fillId="8" borderId="16" xfId="0" applyNumberFormat="1" applyFont="1" applyFill="1" applyBorder="1" applyAlignment="1">
      <alignment horizontal="center" vertical="center" wrapText="1"/>
    </xf>
    <xf numFmtId="0" fontId="35" fillId="5" borderId="11" xfId="0" applyFont="1" applyFill="1" applyBorder="1" applyAlignment="1">
      <alignment horizontal="center" vertical="center" wrapText="1"/>
    </xf>
    <xf numFmtId="0" fontId="35" fillId="5" borderId="12" xfId="0" applyFont="1" applyFill="1" applyBorder="1" applyAlignment="1">
      <alignment horizontal="center" vertical="center" wrapText="1"/>
    </xf>
    <xf numFmtId="0" fontId="35" fillId="5" borderId="13" xfId="0" applyFont="1" applyFill="1" applyBorder="1" applyAlignment="1">
      <alignment horizontal="center" vertical="center" wrapText="1"/>
    </xf>
    <xf numFmtId="49" fontId="6" fillId="5" borderId="14" xfId="0" applyNumberFormat="1" applyFont="1" applyFill="1" applyBorder="1" applyAlignment="1">
      <alignment horizontal="center" vertical="center" wrapText="1"/>
    </xf>
    <xf numFmtId="49" fontId="6" fillId="5" borderId="15" xfId="0" applyNumberFormat="1" applyFont="1" applyFill="1" applyBorder="1" applyAlignment="1">
      <alignment horizontal="center" vertical="center" wrapText="1"/>
    </xf>
    <xf numFmtId="49" fontId="6" fillId="5" borderId="16" xfId="0" applyNumberFormat="1" applyFont="1" applyFill="1" applyBorder="1" applyAlignment="1">
      <alignment horizontal="center" vertical="center" wrapText="1"/>
    </xf>
    <xf numFmtId="49" fontId="6" fillId="9" borderId="14" xfId="0" applyNumberFormat="1" applyFont="1" applyFill="1" applyBorder="1" applyAlignment="1">
      <alignment horizontal="center" vertical="center" wrapText="1"/>
    </xf>
    <xf numFmtId="49" fontId="6" fillId="9" borderId="15" xfId="0" applyNumberFormat="1" applyFont="1" applyFill="1" applyBorder="1" applyAlignment="1">
      <alignment horizontal="center" vertical="center" wrapText="1"/>
    </xf>
    <xf numFmtId="49" fontId="6" fillId="9" borderId="16" xfId="0" applyNumberFormat="1" applyFont="1" applyFill="1" applyBorder="1" applyAlignment="1">
      <alignment horizontal="center" vertical="center" wrapText="1"/>
    </xf>
    <xf numFmtId="0" fontId="35" fillId="9" borderId="11" xfId="0" applyFont="1" applyFill="1" applyBorder="1" applyAlignment="1">
      <alignment horizontal="center" vertical="center" wrapText="1"/>
    </xf>
    <xf numFmtId="0" fontId="35" fillId="9" borderId="12" xfId="0" applyFont="1" applyFill="1" applyBorder="1" applyAlignment="1">
      <alignment horizontal="center" vertical="center" wrapText="1"/>
    </xf>
    <xf numFmtId="0" fontId="35" fillId="9" borderId="13" xfId="0" applyFont="1" applyFill="1" applyBorder="1" applyAlignment="1">
      <alignment horizontal="center" vertical="center" wrapText="1"/>
    </xf>
    <xf numFmtId="0" fontId="35" fillId="8" borderId="6" xfId="0" applyFont="1" applyFill="1" applyBorder="1" applyAlignment="1">
      <alignment horizontal="center" vertical="center" wrapText="1"/>
    </xf>
    <xf numFmtId="49" fontId="35" fillId="5" borderId="11" xfId="0" applyNumberFormat="1" applyFont="1" applyFill="1" applyBorder="1" applyAlignment="1">
      <alignment horizontal="center" vertical="center" wrapText="1"/>
    </xf>
    <xf numFmtId="49" fontId="35" fillId="5" borderId="12" xfId="0" applyNumberFormat="1" applyFont="1" applyFill="1" applyBorder="1" applyAlignment="1">
      <alignment horizontal="center" vertical="center" wrapText="1"/>
    </xf>
    <xf numFmtId="49" fontId="35" fillId="5" borderId="13" xfId="0" applyNumberFormat="1" applyFont="1" applyFill="1" applyBorder="1" applyAlignment="1">
      <alignment horizontal="center" vertical="center" wrapText="1"/>
    </xf>
    <xf numFmtId="49" fontId="35" fillId="9" borderId="11" xfId="0" applyNumberFormat="1" applyFont="1" applyFill="1" applyBorder="1" applyAlignment="1">
      <alignment horizontal="center" vertical="center" wrapText="1"/>
    </xf>
    <xf numFmtId="49" fontId="35" fillId="9" borderId="12" xfId="0" applyNumberFormat="1" applyFont="1" applyFill="1" applyBorder="1" applyAlignment="1">
      <alignment horizontal="center" vertical="center" wrapText="1"/>
    </xf>
    <xf numFmtId="49" fontId="35" fillId="9" borderId="13" xfId="0" applyNumberFormat="1" applyFont="1" applyFill="1" applyBorder="1" applyAlignment="1">
      <alignment horizontal="center" vertical="center" wrapText="1"/>
    </xf>
    <xf numFmtId="49" fontId="35" fillId="2" borderId="11" xfId="0" applyNumberFormat="1" applyFont="1" applyFill="1" applyBorder="1" applyAlignment="1">
      <alignment horizontal="center" vertical="center" wrapText="1"/>
    </xf>
    <xf numFmtId="49" fontId="35" fillId="2" borderId="12" xfId="0" applyNumberFormat="1" applyFont="1" applyFill="1" applyBorder="1" applyAlignment="1">
      <alignment horizontal="center" vertical="center" wrapText="1"/>
    </xf>
    <xf numFmtId="49" fontId="35" fillId="2" borderId="13" xfId="0" applyNumberFormat="1" applyFont="1" applyFill="1" applyBorder="1" applyAlignment="1">
      <alignment horizontal="center" vertical="center" wrapText="1"/>
    </xf>
    <xf numFmtId="49" fontId="35" fillId="10" borderId="11" xfId="0" applyNumberFormat="1" applyFont="1" applyFill="1" applyBorder="1" applyAlignment="1">
      <alignment horizontal="center" vertical="center" wrapText="1"/>
    </xf>
    <xf numFmtId="49" fontId="35" fillId="10" borderId="12" xfId="0" applyNumberFormat="1" applyFont="1" applyFill="1" applyBorder="1" applyAlignment="1">
      <alignment horizontal="center" vertical="center" wrapText="1"/>
    </xf>
    <xf numFmtId="49" fontId="35" fillId="10" borderId="13" xfId="0" applyNumberFormat="1" applyFont="1" applyFill="1" applyBorder="1" applyAlignment="1">
      <alignment horizontal="center" vertical="center" wrapText="1"/>
    </xf>
    <xf numFmtId="49" fontId="35" fillId="8" borderId="11" xfId="0" applyNumberFormat="1" applyFont="1" applyFill="1" applyBorder="1" applyAlignment="1">
      <alignment horizontal="center" vertical="center" wrapText="1"/>
    </xf>
    <xf numFmtId="49" fontId="35" fillId="8" borderId="12" xfId="0" applyNumberFormat="1" applyFont="1" applyFill="1" applyBorder="1" applyAlignment="1">
      <alignment horizontal="center" vertical="center" wrapText="1"/>
    </xf>
    <xf numFmtId="49" fontId="35" fillId="8" borderId="13" xfId="0" applyNumberFormat="1" applyFont="1" applyFill="1" applyBorder="1" applyAlignment="1">
      <alignment horizontal="center" vertical="center" wrapText="1"/>
    </xf>
    <xf numFmtId="49" fontId="35" fillId="9" borderId="3" xfId="0" applyNumberFormat="1" applyFont="1" applyFill="1" applyBorder="1" applyAlignment="1">
      <alignment horizontal="center" vertical="center" wrapText="1"/>
    </xf>
    <xf numFmtId="0" fontId="35" fillId="9" borderId="3" xfId="0" applyFont="1" applyFill="1" applyBorder="1" applyAlignment="1">
      <alignment horizontal="center" vertical="center" wrapText="1"/>
    </xf>
    <xf numFmtId="49" fontId="35" fillId="9" borderId="15" xfId="0" applyNumberFormat="1" applyFont="1" applyFill="1" applyBorder="1" applyAlignment="1">
      <alignment horizontal="center" vertical="center" wrapText="1"/>
    </xf>
    <xf numFmtId="49" fontId="35" fillId="2" borderId="14" xfId="0" applyNumberFormat="1" applyFont="1" applyFill="1" applyBorder="1" applyAlignment="1">
      <alignment horizontal="center" vertical="center" wrapText="1"/>
    </xf>
    <xf numFmtId="49" fontId="35" fillId="2" borderId="15" xfId="0" applyNumberFormat="1" applyFont="1" applyFill="1" applyBorder="1" applyAlignment="1">
      <alignment horizontal="center" vertical="center" wrapText="1"/>
    </xf>
    <xf numFmtId="49" fontId="35" fillId="2" borderId="16" xfId="0" applyNumberFormat="1" applyFont="1" applyFill="1" applyBorder="1" applyAlignment="1">
      <alignment horizontal="center" vertical="center" wrapText="1"/>
    </xf>
    <xf numFmtId="0" fontId="35" fillId="2" borderId="11"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0" fillId="0" borderId="24" xfId="0" applyBorder="1" applyAlignment="1" applyProtection="1">
      <alignment horizontal="center"/>
      <protection locked="0"/>
    </xf>
    <xf numFmtId="0" fontId="0" fillId="0" borderId="1" xfId="0" applyBorder="1" applyAlignment="1" applyProtection="1">
      <alignment horizontal="center"/>
      <protection locked="0"/>
    </xf>
    <xf numFmtId="0" fontId="0" fillId="0" borderId="25" xfId="0" applyBorder="1" applyAlignment="1" applyProtection="1">
      <alignment horizontal="center"/>
      <protection locked="0"/>
    </xf>
    <xf numFmtId="0" fontId="42" fillId="11" borderId="0" xfId="0" applyFont="1" applyFill="1" applyBorder="1" applyAlignment="1">
      <alignment horizontal="center" vertical="center" wrapText="1"/>
    </xf>
    <xf numFmtId="0" fontId="47" fillId="0" borderId="24" xfId="0" applyFont="1" applyFill="1" applyBorder="1" applyAlignment="1" applyProtection="1">
      <alignment horizontal="left" vertical="top"/>
      <protection locked="0"/>
    </xf>
    <xf numFmtId="0" fontId="47" fillId="0" borderId="1" xfId="0" applyFont="1" applyFill="1" applyBorder="1" applyAlignment="1" applyProtection="1">
      <alignment horizontal="left" vertical="top"/>
      <protection locked="0"/>
    </xf>
    <xf numFmtId="0" fontId="47" fillId="0" borderId="25" xfId="0" applyFont="1" applyFill="1" applyBorder="1" applyAlignment="1" applyProtection="1">
      <alignment horizontal="left" vertical="top"/>
      <protection locked="0"/>
    </xf>
    <xf numFmtId="0" fontId="0" fillId="0" borderId="24" xfId="0" applyBorder="1" applyAlignment="1" applyProtection="1">
      <alignment horizontal="center" vertical="top" wrapText="1"/>
      <protection locked="0"/>
    </xf>
    <xf numFmtId="0" fontId="0" fillId="0" borderId="1" xfId="0" applyBorder="1" applyAlignment="1" applyProtection="1">
      <alignment horizontal="center" vertical="top"/>
      <protection locked="0"/>
    </xf>
    <xf numFmtId="0" fontId="0" fillId="0" borderId="25" xfId="0" applyBorder="1" applyAlignment="1" applyProtection="1">
      <alignment horizontal="center" vertical="top"/>
      <protection locked="0"/>
    </xf>
    <xf numFmtId="0" fontId="0" fillId="0" borderId="64" xfId="0" applyBorder="1" applyAlignment="1">
      <alignment horizontal="center"/>
    </xf>
    <xf numFmtId="0" fontId="0" fillId="0" borderId="1" xfId="0" applyBorder="1" applyAlignment="1">
      <alignment horizontal="center"/>
    </xf>
    <xf numFmtId="49" fontId="39" fillId="3" borderId="77" xfId="0" applyNumberFormat="1" applyFont="1" applyFill="1" applyBorder="1" applyAlignment="1">
      <alignment horizontal="left" vertical="center" wrapText="1"/>
    </xf>
    <xf numFmtId="49" fontId="39" fillId="3" borderId="3" xfId="0" applyNumberFormat="1" applyFont="1" applyFill="1" applyBorder="1" applyAlignment="1">
      <alignment horizontal="left" vertical="center" wrapText="1"/>
    </xf>
    <xf numFmtId="49" fontId="39" fillId="3" borderId="78" xfId="0" applyNumberFormat="1" applyFont="1" applyFill="1" applyBorder="1" applyAlignment="1">
      <alignment horizontal="left" vertical="center" wrapText="1"/>
    </xf>
    <xf numFmtId="49" fontId="39" fillId="3" borderId="4" xfId="0" applyNumberFormat="1" applyFont="1" applyFill="1" applyBorder="1" applyAlignment="1">
      <alignment horizontal="left" vertical="center" wrapText="1"/>
    </xf>
    <xf numFmtId="0" fontId="41" fillId="2" borderId="7"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6" fillId="3" borderId="3" xfId="0" applyFont="1" applyFill="1" applyBorder="1" applyAlignment="1" applyProtection="1">
      <alignment horizontal="center" vertical="center"/>
      <protection locked="0"/>
    </xf>
    <xf numFmtId="164" fontId="46" fillId="3" borderId="22" xfId="0" applyNumberFormat="1" applyFont="1" applyFill="1" applyBorder="1" applyAlignment="1" applyProtection="1">
      <alignment horizontal="center" vertical="center"/>
      <protection locked="0"/>
    </xf>
    <xf numFmtId="164" fontId="46" fillId="3" borderId="23" xfId="0" applyNumberFormat="1" applyFont="1" applyFill="1" applyBorder="1" applyAlignment="1" applyProtection="1">
      <alignment horizontal="center" vertical="center"/>
      <protection locked="0"/>
    </xf>
    <xf numFmtId="164" fontId="46" fillId="3" borderId="9" xfId="0" applyNumberFormat="1" applyFont="1" applyFill="1" applyBorder="1" applyAlignment="1" applyProtection="1">
      <alignment horizontal="center" vertical="center"/>
      <protection locked="0"/>
    </xf>
    <xf numFmtId="0" fontId="42" fillId="2" borderId="24"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42" fillId="2" borderId="25" xfId="0" applyFont="1" applyFill="1" applyBorder="1" applyAlignment="1">
      <alignment horizontal="center" vertical="center" wrapText="1"/>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49" fontId="39" fillId="3" borderId="76" xfId="0" applyNumberFormat="1" applyFont="1" applyFill="1" applyBorder="1" applyAlignment="1">
      <alignment horizontal="left" vertical="center" wrapText="1"/>
    </xf>
    <xf numFmtId="49" fontId="39" fillId="3" borderId="2" xfId="0" applyNumberFormat="1" applyFont="1" applyFill="1" applyBorder="1" applyAlignment="1">
      <alignment horizontal="left" vertical="center" wrapText="1"/>
    </xf>
    <xf numFmtId="49" fontId="0" fillId="3" borderId="2" xfId="0" applyNumberFormat="1" applyFill="1" applyBorder="1" applyAlignment="1" applyProtection="1">
      <alignment horizontal="center" vertical="top" wrapText="1"/>
      <protection locked="0"/>
    </xf>
    <xf numFmtId="49" fontId="0" fillId="3" borderId="73" xfId="0" applyNumberFormat="1" applyFill="1" applyBorder="1" applyAlignment="1" applyProtection="1">
      <alignment horizontal="center" vertical="top" wrapText="1"/>
      <protection locked="0"/>
    </xf>
    <xf numFmtId="49" fontId="48" fillId="3" borderId="3" xfId="0" applyNumberFormat="1" applyFont="1" applyFill="1" applyBorder="1" applyAlignment="1" applyProtection="1">
      <alignment horizontal="center" vertical="top" wrapText="1"/>
      <protection locked="0"/>
    </xf>
    <xf numFmtId="49" fontId="48" fillId="3" borderId="74" xfId="0" applyNumberFormat="1" applyFont="1" applyFill="1" applyBorder="1" applyAlignment="1" applyProtection="1">
      <alignment horizontal="center" vertical="top" wrapText="1"/>
      <protection locked="0"/>
    </xf>
    <xf numFmtId="49" fontId="0" fillId="3" borderId="4" xfId="0" applyNumberFormat="1" applyFill="1" applyBorder="1" applyAlignment="1" applyProtection="1">
      <alignment horizontal="center" vertical="top" wrapText="1"/>
      <protection locked="0"/>
    </xf>
    <xf numFmtId="49" fontId="0" fillId="3" borderId="75" xfId="0" applyNumberFormat="1" applyFill="1" applyBorder="1" applyAlignment="1" applyProtection="1">
      <alignment horizontal="center" vertical="top" wrapText="1"/>
      <protection locked="0"/>
    </xf>
  </cellXfs>
  <cellStyles count="5">
    <cellStyle name="Normal" xfId="0" builtinId="0"/>
    <cellStyle name="Normal - Style1 2" xfId="3"/>
    <cellStyle name="Normal 2" xfId="2"/>
    <cellStyle name="Normal 2 2" xfId="4"/>
    <cellStyle name="Porcentaje" xfId="1" builtinId="5"/>
  </cellStyles>
  <dxfs count="12">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Resultad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3" zoomScale="90" zoomScaleNormal="90" workbookViewId="0">
      <selection activeCell="B6" sqref="B6:H7"/>
    </sheetView>
  </sheetViews>
  <sheetFormatPr baseColWidth="10" defaultColWidth="0" defaultRowHeight="12.75" zeroHeight="1" x14ac:dyDescent="0.2"/>
  <cols>
    <col min="1" max="1" width="3.85546875" style="38" customWidth="1"/>
    <col min="2" max="2" width="15.28515625" style="38" customWidth="1"/>
    <col min="3" max="3" width="17.28515625" style="38" customWidth="1"/>
    <col min="4" max="4" width="28.5703125" style="38" customWidth="1"/>
    <col min="5" max="5" width="12.85546875" style="38" customWidth="1"/>
    <col min="6" max="6" width="47.140625" style="38" customWidth="1"/>
    <col min="7" max="7" width="21.42578125" style="38" customWidth="1"/>
    <col min="8" max="8" width="6.5703125" style="38" customWidth="1"/>
    <col min="9" max="9" width="2.5703125" style="38" customWidth="1"/>
    <col min="10" max="16384" width="11.42578125" style="38" hidden="1"/>
  </cols>
  <sheetData>
    <row r="1" spans="2:8" ht="13.5" thickBot="1" x14ac:dyDescent="0.25"/>
    <row r="2" spans="2:8" ht="73.5" customHeight="1" x14ac:dyDescent="0.2">
      <c r="B2" s="164" t="s">
        <v>0</v>
      </c>
      <c r="C2" s="165"/>
      <c r="D2" s="165"/>
      <c r="E2" s="165"/>
      <c r="F2" s="165"/>
      <c r="G2" s="165"/>
      <c r="H2" s="166"/>
    </row>
    <row r="3" spans="2:8" ht="65.25" customHeight="1" x14ac:dyDescent="0.2">
      <c r="B3" s="167" t="s">
        <v>1</v>
      </c>
      <c r="C3" s="168"/>
      <c r="D3" s="168"/>
      <c r="E3" s="168"/>
      <c r="F3" s="168"/>
      <c r="G3" s="168"/>
      <c r="H3" s="169"/>
    </row>
    <row r="4" spans="2:8" ht="82.5" customHeight="1" x14ac:dyDescent="0.2">
      <c r="B4" s="167"/>
      <c r="C4" s="168"/>
      <c r="D4" s="168"/>
      <c r="E4" s="168"/>
      <c r="F4" s="168"/>
      <c r="G4" s="168"/>
      <c r="H4" s="169"/>
    </row>
    <row r="5" spans="2:8" ht="21.75" customHeight="1" x14ac:dyDescent="0.2">
      <c r="B5" s="170" t="s">
        <v>2</v>
      </c>
      <c r="C5" s="171"/>
      <c r="D5" s="171"/>
      <c r="E5" s="171"/>
      <c r="F5" s="171"/>
      <c r="G5" s="171"/>
      <c r="H5" s="172"/>
    </row>
    <row r="6" spans="2:8" ht="42" customHeight="1" x14ac:dyDescent="0.2">
      <c r="B6" s="173" t="s">
        <v>3</v>
      </c>
      <c r="C6" s="174"/>
      <c r="D6" s="174"/>
      <c r="E6" s="174"/>
      <c r="F6" s="174"/>
      <c r="G6" s="174"/>
      <c r="H6" s="175"/>
    </row>
    <row r="7" spans="2:8" ht="14.25" customHeight="1" x14ac:dyDescent="0.2">
      <c r="B7" s="173"/>
      <c r="C7" s="174"/>
      <c r="D7" s="174"/>
      <c r="E7" s="174"/>
      <c r="F7" s="174"/>
      <c r="G7" s="174"/>
      <c r="H7" s="175"/>
    </row>
    <row r="8" spans="2:8" ht="12.75" customHeight="1" thickBot="1" x14ac:dyDescent="0.25">
      <c r="B8" s="49"/>
      <c r="C8" s="43"/>
      <c r="D8" s="59"/>
      <c r="E8" s="60"/>
      <c r="F8" s="60"/>
      <c r="G8" s="57"/>
      <c r="H8" s="58"/>
    </row>
    <row r="9" spans="2:8" ht="21" customHeight="1" thickTop="1" x14ac:dyDescent="0.2">
      <c r="B9" s="49"/>
      <c r="C9" s="176" t="s">
        <v>4</v>
      </c>
      <c r="D9" s="177"/>
      <c r="E9" s="178" t="s">
        <v>5</v>
      </c>
      <c r="F9" s="179"/>
      <c r="G9" s="43"/>
      <c r="H9" s="51"/>
    </row>
    <row r="10" spans="2:8" ht="37.5" customHeight="1" x14ac:dyDescent="0.2">
      <c r="B10" s="49"/>
      <c r="C10" s="156" t="s">
        <v>6</v>
      </c>
      <c r="D10" s="157"/>
      <c r="E10" s="158" t="s">
        <v>7</v>
      </c>
      <c r="F10" s="159"/>
      <c r="G10" s="43"/>
      <c r="H10" s="51"/>
    </row>
    <row r="11" spans="2:8" ht="39.75" customHeight="1" x14ac:dyDescent="0.2">
      <c r="B11" s="49"/>
      <c r="C11" s="160" t="s">
        <v>8</v>
      </c>
      <c r="D11" s="161"/>
      <c r="E11" s="137" t="s">
        <v>9</v>
      </c>
      <c r="F11" s="138"/>
      <c r="G11" s="43"/>
      <c r="H11" s="51"/>
    </row>
    <row r="12" spans="2:8" ht="59.25" customHeight="1" x14ac:dyDescent="0.2">
      <c r="B12" s="49"/>
      <c r="C12" s="160" t="s">
        <v>10</v>
      </c>
      <c r="D12" s="161"/>
      <c r="E12" s="162" t="s">
        <v>11</v>
      </c>
      <c r="F12" s="163"/>
      <c r="G12" s="43"/>
      <c r="H12" s="51"/>
    </row>
    <row r="13" spans="2:8" ht="33.75" customHeight="1" x14ac:dyDescent="0.2">
      <c r="B13" s="49"/>
      <c r="C13" s="135" t="s">
        <v>12</v>
      </c>
      <c r="D13" s="136"/>
      <c r="E13" s="137" t="s">
        <v>13</v>
      </c>
      <c r="F13" s="138"/>
      <c r="G13" s="43"/>
      <c r="H13" s="51"/>
    </row>
    <row r="14" spans="2:8" ht="19.5" customHeight="1" x14ac:dyDescent="0.2">
      <c r="B14" s="49"/>
      <c r="C14" s="55"/>
      <c r="D14" s="55"/>
      <c r="E14" s="56"/>
      <c r="F14" s="56"/>
      <c r="G14" s="43"/>
      <c r="H14" s="51"/>
    </row>
    <row r="15" spans="2:8" ht="37.5" customHeight="1" thickBot="1" x14ac:dyDescent="0.25">
      <c r="B15" s="131" t="s">
        <v>14</v>
      </c>
      <c r="C15" s="132"/>
      <c r="D15" s="132"/>
      <c r="E15" s="132"/>
      <c r="F15" s="132"/>
      <c r="G15" s="132"/>
      <c r="H15" s="133"/>
    </row>
    <row r="16" spans="2:8" ht="27.75" customHeight="1" thickBot="1" x14ac:dyDescent="0.25">
      <c r="B16" s="49"/>
      <c r="C16" s="139" t="s">
        <v>15</v>
      </c>
      <c r="D16" s="140"/>
      <c r="E16" s="140" t="s">
        <v>16</v>
      </c>
      <c r="F16" s="151"/>
      <c r="G16" s="43"/>
      <c r="H16" s="51"/>
    </row>
    <row r="17" spans="2:8" ht="27.75" customHeight="1" x14ac:dyDescent="0.2">
      <c r="B17" s="49"/>
      <c r="C17" s="152" t="s">
        <v>17</v>
      </c>
      <c r="D17" s="153"/>
      <c r="E17" s="154" t="s">
        <v>18</v>
      </c>
      <c r="F17" s="155"/>
      <c r="G17" s="93"/>
      <c r="H17" s="51"/>
    </row>
    <row r="18" spans="2:8" ht="41.25" customHeight="1" x14ac:dyDescent="0.2">
      <c r="B18" s="49"/>
      <c r="C18" s="141" t="s">
        <v>19</v>
      </c>
      <c r="D18" s="142"/>
      <c r="E18" s="143" t="s">
        <v>20</v>
      </c>
      <c r="F18" s="144"/>
      <c r="G18" s="94"/>
      <c r="H18" s="51"/>
    </row>
    <row r="19" spans="2:8" ht="37.5" customHeight="1" thickBot="1" x14ac:dyDescent="0.25">
      <c r="B19" s="49"/>
      <c r="C19" s="145" t="s">
        <v>21</v>
      </c>
      <c r="D19" s="146"/>
      <c r="E19" s="147" t="s">
        <v>22</v>
      </c>
      <c r="F19" s="148"/>
      <c r="G19" s="94"/>
      <c r="H19" s="51"/>
    </row>
    <row r="20" spans="2:8" ht="11.25" customHeight="1" x14ac:dyDescent="0.2">
      <c r="B20" s="44"/>
      <c r="C20" s="45"/>
      <c r="D20" s="45"/>
      <c r="E20" s="45"/>
      <c r="F20" s="45"/>
      <c r="G20" s="45"/>
      <c r="H20" s="46"/>
    </row>
    <row r="21" spans="2:8" ht="14.25" customHeight="1" x14ac:dyDescent="0.2">
      <c r="B21" s="47"/>
      <c r="C21" s="149"/>
      <c r="D21" s="149"/>
      <c r="E21" s="150"/>
      <c r="F21" s="150"/>
      <c r="G21" s="150"/>
      <c r="H21" s="48"/>
    </row>
    <row r="22" spans="2:8" ht="36" customHeight="1" x14ac:dyDescent="0.2">
      <c r="B22" s="131" t="s">
        <v>23</v>
      </c>
      <c r="C22" s="132"/>
      <c r="D22" s="132"/>
      <c r="E22" s="132"/>
      <c r="F22" s="132"/>
      <c r="G22" s="132"/>
      <c r="H22" s="133"/>
    </row>
    <row r="23" spans="2:8" ht="13.5" x14ac:dyDescent="0.2">
      <c r="B23" s="49"/>
      <c r="C23" s="50"/>
      <c r="D23" s="50"/>
      <c r="E23" s="134"/>
      <c r="F23" s="134"/>
      <c r="G23" s="43"/>
      <c r="H23" s="51"/>
    </row>
    <row r="24" spans="2:8" ht="13.5" thickBot="1" x14ac:dyDescent="0.25">
      <c r="B24" s="52"/>
      <c r="C24" s="53"/>
      <c r="D24" s="53"/>
      <c r="E24" s="53"/>
      <c r="F24" s="53"/>
      <c r="G24" s="53"/>
      <c r="H24" s="54"/>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sheet="1" objects="1" scenarios="1"/>
  <mergeCells count="27">
    <mergeCell ref="B2:H2"/>
    <mergeCell ref="B3:H4"/>
    <mergeCell ref="B5:H5"/>
    <mergeCell ref="B6:H7"/>
    <mergeCell ref="C9:D9"/>
    <mergeCell ref="E9:F9"/>
    <mergeCell ref="C10:D10"/>
    <mergeCell ref="E10:F10"/>
    <mergeCell ref="C11:D11"/>
    <mergeCell ref="E11:F11"/>
    <mergeCell ref="C12:D12"/>
    <mergeCell ref="E12:F12"/>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9"/>
  <sheetViews>
    <sheetView showGridLines="0" tabSelected="1" topLeftCell="D31" workbookViewId="0">
      <selection activeCell="H18" sqref="H18"/>
    </sheetView>
  </sheetViews>
  <sheetFormatPr baseColWidth="10" defaultColWidth="11.42578125" defaultRowHeight="16.5" x14ac:dyDescent="0.3"/>
  <cols>
    <col min="1" max="1" width="3" style="40" hidden="1" customWidth="1"/>
    <col min="2" max="2" width="9.42578125" style="40" customWidth="1"/>
    <col min="3" max="3" width="25.5703125" style="40" customWidth="1"/>
    <col min="4" max="4" width="46.5703125" style="40" customWidth="1"/>
    <col min="5" max="5" width="10.140625" style="62" customWidth="1"/>
    <col min="6" max="6" width="44.5703125" style="62" customWidth="1"/>
    <col min="7" max="7" width="15.42578125" style="40" customWidth="1"/>
    <col min="8" max="9" width="43" style="40" customWidth="1"/>
    <col min="10" max="12" width="11.42578125" style="67" customWidth="1"/>
    <col min="13" max="24" width="11.42578125" style="40" customWidth="1"/>
    <col min="25" max="16384" width="11.42578125" style="40"/>
  </cols>
  <sheetData>
    <row r="1" spans="1:32" x14ac:dyDescent="0.3">
      <c r="B1" s="39"/>
      <c r="C1" s="39"/>
      <c r="D1" s="39"/>
      <c r="E1" s="61"/>
      <c r="F1" s="61"/>
      <c r="G1" s="39"/>
      <c r="H1" s="39"/>
      <c r="I1" s="39"/>
      <c r="J1" s="63"/>
      <c r="K1" s="63"/>
      <c r="L1" s="64"/>
      <c r="M1" s="39"/>
      <c r="N1" s="39"/>
      <c r="O1" s="39"/>
      <c r="P1" s="39"/>
      <c r="Q1" s="39"/>
      <c r="R1" s="39"/>
      <c r="S1" s="39"/>
      <c r="T1" s="39"/>
      <c r="U1" s="39"/>
      <c r="V1" s="39"/>
      <c r="W1" s="39"/>
      <c r="X1" s="39"/>
    </row>
    <row r="2" spans="1:32" x14ac:dyDescent="0.3">
      <c r="B2" s="39"/>
      <c r="C2" s="39"/>
      <c r="D2" s="39"/>
      <c r="E2" s="61"/>
      <c r="F2" s="61"/>
      <c r="G2" s="39"/>
      <c r="H2" s="39"/>
      <c r="I2" s="39"/>
      <c r="J2" s="63"/>
      <c r="K2" s="63"/>
      <c r="L2" s="64"/>
      <c r="M2" s="39"/>
      <c r="N2" s="39"/>
      <c r="O2" s="39"/>
      <c r="P2" s="39"/>
      <c r="Q2" s="39"/>
      <c r="R2" s="39"/>
      <c r="S2" s="39"/>
      <c r="T2" s="39"/>
      <c r="U2" s="39"/>
      <c r="V2" s="39"/>
      <c r="W2" s="39"/>
      <c r="X2" s="39"/>
    </row>
    <row r="3" spans="1:32" x14ac:dyDescent="0.3">
      <c r="B3" s="39"/>
      <c r="C3" s="39"/>
      <c r="D3" s="39"/>
      <c r="E3" s="61"/>
      <c r="F3" s="61"/>
      <c r="G3" s="39"/>
      <c r="H3" s="39"/>
      <c r="I3" s="39"/>
      <c r="J3" s="63"/>
      <c r="K3" s="63"/>
      <c r="L3" s="64"/>
      <c r="M3" s="39"/>
      <c r="N3" s="39"/>
      <c r="O3" s="39"/>
      <c r="P3" s="39"/>
      <c r="Q3" s="39"/>
      <c r="R3" s="39"/>
      <c r="S3" s="39"/>
      <c r="T3" s="39"/>
      <c r="U3" s="39"/>
      <c r="V3" s="39"/>
      <c r="W3" s="39"/>
      <c r="X3" s="39"/>
    </row>
    <row r="4" spans="1:32" x14ac:dyDescent="0.3">
      <c r="B4" s="39"/>
      <c r="C4" s="39"/>
      <c r="D4" s="39"/>
      <c r="E4" s="61"/>
      <c r="F4" s="61"/>
      <c r="G4" s="39"/>
      <c r="H4" s="39"/>
      <c r="I4" s="39"/>
      <c r="J4" s="63"/>
      <c r="K4" s="63"/>
      <c r="L4" s="64"/>
      <c r="M4" s="39"/>
      <c r="N4" s="39"/>
      <c r="O4" s="39"/>
      <c r="P4" s="39"/>
      <c r="Q4" s="39"/>
      <c r="R4" s="39"/>
      <c r="S4" s="39"/>
      <c r="T4" s="39"/>
      <c r="U4" s="39"/>
      <c r="V4" s="39"/>
      <c r="W4" s="39"/>
      <c r="X4" s="39"/>
    </row>
    <row r="5" spans="1:32" x14ac:dyDescent="0.3">
      <c r="B5" s="39"/>
      <c r="C5" s="39"/>
      <c r="D5" s="39"/>
      <c r="E5" s="61"/>
      <c r="F5" s="61"/>
      <c r="G5" s="39"/>
      <c r="H5" s="39"/>
      <c r="I5" s="39"/>
      <c r="J5" s="63"/>
      <c r="K5" s="63"/>
      <c r="L5" s="64"/>
      <c r="M5" s="39"/>
      <c r="N5" s="39"/>
      <c r="O5" s="39"/>
      <c r="P5" s="39"/>
      <c r="Q5" s="39"/>
      <c r="R5" s="39"/>
      <c r="S5" s="39"/>
      <c r="T5" s="39"/>
      <c r="U5" s="39"/>
      <c r="V5" s="39"/>
      <c r="W5" s="39"/>
      <c r="X5" s="39"/>
    </row>
    <row r="6" spans="1:32" x14ac:dyDescent="0.3">
      <c r="B6" s="39"/>
      <c r="C6" s="39"/>
      <c r="D6" s="39"/>
      <c r="E6" s="61"/>
      <c r="F6" s="61"/>
      <c r="G6" s="39"/>
      <c r="H6" s="39"/>
      <c r="I6" s="39"/>
      <c r="J6" s="63"/>
      <c r="K6" s="63"/>
      <c r="L6" s="64"/>
      <c r="M6" s="39"/>
      <c r="N6" s="39"/>
      <c r="O6" s="39"/>
      <c r="P6" s="39"/>
      <c r="Q6" s="39"/>
      <c r="R6" s="39"/>
      <c r="S6" s="39"/>
      <c r="T6" s="39"/>
      <c r="U6" s="39"/>
      <c r="V6" s="39"/>
      <c r="W6" s="39"/>
      <c r="X6" s="39"/>
    </row>
    <row r="7" spans="1:32" x14ac:dyDescent="0.3">
      <c r="B7" s="39"/>
      <c r="C7" s="39"/>
      <c r="D7" s="39"/>
      <c r="E7" s="61"/>
      <c r="F7" s="61"/>
      <c r="G7" s="39"/>
      <c r="H7" s="39"/>
      <c r="I7" s="39"/>
      <c r="J7" s="63"/>
      <c r="K7" s="63"/>
      <c r="L7" s="64"/>
      <c r="M7" s="39"/>
      <c r="N7" s="39"/>
      <c r="O7" s="39"/>
      <c r="P7" s="39"/>
      <c r="Q7" s="39"/>
      <c r="R7" s="39"/>
      <c r="S7" s="39"/>
      <c r="T7" s="39"/>
      <c r="U7" s="39"/>
      <c r="V7" s="39"/>
      <c r="W7" s="39"/>
      <c r="X7" s="39"/>
    </row>
    <row r="8" spans="1:32" x14ac:dyDescent="0.3">
      <c r="B8" s="39"/>
      <c r="C8" s="39"/>
      <c r="D8" s="39"/>
      <c r="E8" s="61"/>
      <c r="F8" s="61"/>
      <c r="G8" s="39"/>
      <c r="H8" s="39"/>
      <c r="I8" s="39"/>
      <c r="J8" s="63"/>
      <c r="K8" s="63"/>
      <c r="L8" s="64"/>
      <c r="M8" s="39"/>
      <c r="N8" s="39"/>
      <c r="O8" s="39"/>
      <c r="P8" s="39"/>
      <c r="Q8" s="39"/>
      <c r="R8" s="39"/>
      <c r="S8" s="39"/>
      <c r="T8" s="39"/>
      <c r="U8" s="39"/>
      <c r="V8" s="39"/>
      <c r="W8" s="39"/>
      <c r="X8" s="39"/>
    </row>
    <row r="9" spans="1:32" x14ac:dyDescent="0.3">
      <c r="B9" s="39"/>
      <c r="C9" s="39"/>
      <c r="D9" s="39"/>
      <c r="E9" s="61"/>
      <c r="F9" s="61"/>
      <c r="G9" s="39"/>
      <c r="H9" s="39"/>
      <c r="I9" s="39"/>
      <c r="J9" s="63"/>
      <c r="K9" s="63"/>
      <c r="L9" s="64"/>
      <c r="M9" s="39"/>
      <c r="N9" s="39"/>
      <c r="O9" s="39"/>
      <c r="P9" s="39"/>
      <c r="Q9" s="39"/>
      <c r="R9" s="39"/>
      <c r="S9" s="39"/>
      <c r="T9" s="39"/>
      <c r="U9" s="39"/>
      <c r="V9" s="39"/>
      <c r="W9" s="39"/>
      <c r="X9" s="39"/>
    </row>
    <row r="10" spans="1:32" x14ac:dyDescent="0.3">
      <c r="B10" s="39"/>
      <c r="C10" s="39"/>
      <c r="D10" s="39"/>
      <c r="E10" s="61"/>
      <c r="F10" s="61"/>
      <c r="G10" s="39"/>
      <c r="H10" s="39"/>
      <c r="I10" s="39"/>
      <c r="J10" s="63"/>
      <c r="K10" s="63"/>
      <c r="L10" s="64"/>
      <c r="M10" s="39"/>
      <c r="N10" s="39"/>
      <c r="O10" s="39"/>
      <c r="P10" s="39"/>
      <c r="Q10" s="39"/>
      <c r="R10" s="39"/>
      <c r="S10" s="39"/>
      <c r="T10" s="39"/>
      <c r="U10" s="39"/>
      <c r="V10" s="39"/>
      <c r="W10" s="39"/>
      <c r="X10" s="39"/>
    </row>
    <row r="11" spans="1:32" x14ac:dyDescent="0.3">
      <c r="B11" s="39"/>
      <c r="C11" s="39"/>
      <c r="D11" s="39"/>
      <c r="E11" s="61"/>
      <c r="F11" s="61"/>
      <c r="G11" s="39"/>
      <c r="H11" s="39"/>
      <c r="I11" s="39"/>
      <c r="J11" s="63"/>
      <c r="K11" s="63"/>
      <c r="L11" s="64"/>
      <c r="M11" s="39"/>
      <c r="N11" s="39"/>
      <c r="O11" s="39"/>
      <c r="P11" s="39"/>
      <c r="Q11" s="39"/>
      <c r="R11" s="39"/>
      <c r="S11" s="39"/>
      <c r="T11" s="39"/>
      <c r="U11" s="39"/>
      <c r="V11" s="39"/>
      <c r="W11" s="39"/>
      <c r="X11" s="39"/>
    </row>
    <row r="12" spans="1:32" x14ac:dyDescent="0.3">
      <c r="B12" s="39"/>
      <c r="C12" s="39"/>
      <c r="D12" s="39"/>
      <c r="E12" s="61"/>
      <c r="F12" s="61"/>
      <c r="G12" s="39"/>
      <c r="H12" s="39"/>
      <c r="I12" s="39"/>
      <c r="J12" s="63"/>
      <c r="K12" s="63"/>
      <c r="L12" s="64"/>
      <c r="M12" s="39"/>
      <c r="N12" s="39"/>
      <c r="O12" s="39"/>
      <c r="P12" s="39"/>
      <c r="Q12" s="39"/>
      <c r="R12" s="39"/>
      <c r="S12" s="39"/>
      <c r="T12" s="39"/>
      <c r="U12" s="39"/>
      <c r="V12" s="39"/>
      <c r="W12" s="39"/>
      <c r="X12" s="39"/>
    </row>
    <row r="13" spans="1:32" x14ac:dyDescent="0.3">
      <c r="B13" s="39"/>
      <c r="C13" s="39"/>
      <c r="D13" s="39"/>
      <c r="E13" s="61"/>
      <c r="F13" s="61"/>
      <c r="G13" s="39"/>
      <c r="H13" s="39"/>
      <c r="I13" s="39"/>
      <c r="J13" s="63"/>
      <c r="K13" s="63"/>
      <c r="L13" s="64"/>
      <c r="M13" s="39"/>
      <c r="N13" s="39"/>
      <c r="O13" s="39"/>
      <c r="P13" s="39"/>
      <c r="Q13" s="39"/>
      <c r="R13" s="39"/>
      <c r="S13" s="39"/>
      <c r="T13" s="39"/>
      <c r="U13" s="39"/>
      <c r="V13" s="39"/>
      <c r="W13" s="39"/>
      <c r="X13" s="39"/>
    </row>
    <row r="14" spans="1:32" s="42" customFormat="1" ht="49.5" customHeight="1" x14ac:dyDescent="0.25">
      <c r="B14" s="180" t="s">
        <v>24</v>
      </c>
      <c r="C14" s="180"/>
      <c r="D14" s="180"/>
      <c r="E14" s="180"/>
      <c r="F14" s="180"/>
      <c r="G14" s="180"/>
      <c r="H14" s="180"/>
      <c r="I14" s="180"/>
      <c r="J14" s="65"/>
      <c r="K14" s="65"/>
      <c r="L14" s="66"/>
      <c r="M14" s="41"/>
      <c r="N14" s="41"/>
      <c r="O14" s="41"/>
      <c r="P14" s="41"/>
      <c r="Q14" s="41"/>
      <c r="R14" s="41"/>
      <c r="S14" s="41"/>
      <c r="T14" s="41"/>
      <c r="U14" s="41"/>
      <c r="V14" s="41"/>
      <c r="W14" s="41"/>
      <c r="X14" s="41"/>
      <c r="Y14" s="41"/>
      <c r="Z14" s="41"/>
      <c r="AA14" s="41"/>
      <c r="AB14" s="41"/>
      <c r="AC14" s="41"/>
      <c r="AD14" s="41"/>
      <c r="AE14" s="41"/>
      <c r="AF14" s="41"/>
    </row>
    <row r="15" spans="1:32" s="42" customFormat="1" ht="123.75" customHeight="1" thickBot="1" x14ac:dyDescent="0.3">
      <c r="B15" s="69" t="s">
        <v>25</v>
      </c>
      <c r="C15" s="69" t="s">
        <v>6</v>
      </c>
      <c r="D15" s="70" t="s">
        <v>8</v>
      </c>
      <c r="E15" s="71" t="s">
        <v>26</v>
      </c>
      <c r="F15" s="71" t="s">
        <v>27</v>
      </c>
      <c r="G15" s="71" t="s">
        <v>28</v>
      </c>
      <c r="H15" s="72" t="s">
        <v>29</v>
      </c>
      <c r="I15" s="71" t="s">
        <v>30</v>
      </c>
      <c r="J15" s="65"/>
      <c r="K15" s="65"/>
      <c r="L15" s="66"/>
      <c r="M15" s="41"/>
      <c r="N15" s="41"/>
      <c r="O15" s="41"/>
      <c r="P15" s="41"/>
      <c r="Q15" s="41"/>
      <c r="R15" s="41"/>
      <c r="S15" s="41"/>
      <c r="T15" s="41"/>
      <c r="U15" s="41"/>
      <c r="V15" s="41"/>
      <c r="W15" s="41"/>
      <c r="X15" s="41"/>
      <c r="Y15" s="41"/>
      <c r="Z15" s="41"/>
      <c r="AA15" s="41"/>
      <c r="AB15" s="41"/>
      <c r="AC15" s="41"/>
      <c r="AD15" s="41"/>
      <c r="AE15" s="41"/>
      <c r="AF15" s="41"/>
    </row>
    <row r="16" spans="1:32" s="42" customFormat="1" ht="71.25" customHeight="1" x14ac:dyDescent="0.25">
      <c r="A16" s="95" t="str">
        <f>1&amp;E16</f>
        <v>1a</v>
      </c>
      <c r="B16" s="196" t="s">
        <v>31</v>
      </c>
      <c r="C16" s="206" t="s">
        <v>32</v>
      </c>
      <c r="D16" s="193" t="s">
        <v>33</v>
      </c>
      <c r="E16" s="73" t="s">
        <v>34</v>
      </c>
      <c r="F16" s="74" t="s">
        <v>35</v>
      </c>
      <c r="G16" s="104" t="s">
        <v>76</v>
      </c>
      <c r="H16" s="105" t="s">
        <v>231</v>
      </c>
      <c r="I16" s="96" t="str">
        <f>+IF(G16="Si","Mantenimiento del control",IF(G16="En proceso","Oportunidad de mejora","Deficiencia de control"))</f>
        <v>Oportunidad de mejora</v>
      </c>
      <c r="J16" s="97">
        <f t="shared" ref="J16:J27" si="0">+IF(G16="Si",20,IF(G16="En proceso",10,0))</f>
        <v>10</v>
      </c>
      <c r="K16" s="97">
        <v>0.123</v>
      </c>
      <c r="L16" s="97">
        <f>+J16+K16</f>
        <v>10.122999999999999</v>
      </c>
    </row>
    <row r="17" spans="1:32" s="42" customFormat="1" ht="82.5" x14ac:dyDescent="0.25">
      <c r="A17" s="95" t="str">
        <f t="shared" ref="A17:A27" si="1">1&amp;E17</f>
        <v>1b</v>
      </c>
      <c r="B17" s="197"/>
      <c r="C17" s="207"/>
      <c r="D17" s="194"/>
      <c r="E17" s="75" t="s">
        <v>37</v>
      </c>
      <c r="F17" s="76" t="s">
        <v>38</v>
      </c>
      <c r="G17" s="106" t="s">
        <v>76</v>
      </c>
      <c r="H17" s="107" t="s">
        <v>216</v>
      </c>
      <c r="I17" s="98" t="str">
        <f t="shared" ref="I17:I59" si="2">+IF(G17="Si","Mantenimiento del control",IF(G17="En proceso","Oportunidad de mejora","Deficiencia de control"))</f>
        <v>Oportunidad de mejora</v>
      </c>
      <c r="J17" s="99">
        <f t="shared" si="0"/>
        <v>10</v>
      </c>
      <c r="K17" s="97">
        <v>0.1234</v>
      </c>
      <c r="L17" s="97">
        <f t="shared" ref="L17:L59" si="3">+J17+K17</f>
        <v>10.1234</v>
      </c>
    </row>
    <row r="18" spans="1:32" s="42" customFormat="1" ht="64.5" customHeight="1" x14ac:dyDescent="0.25">
      <c r="A18" s="95" t="str">
        <f t="shared" si="1"/>
        <v>1c</v>
      </c>
      <c r="B18" s="197"/>
      <c r="C18" s="207"/>
      <c r="D18" s="194"/>
      <c r="E18" s="75" t="s">
        <v>40</v>
      </c>
      <c r="F18" s="77" t="s">
        <v>41</v>
      </c>
      <c r="G18" s="108" t="s">
        <v>76</v>
      </c>
      <c r="H18" s="109" t="s">
        <v>234</v>
      </c>
      <c r="I18" s="100" t="str">
        <f t="shared" si="2"/>
        <v>Oportunidad de mejora</v>
      </c>
      <c r="J18" s="99">
        <f t="shared" si="0"/>
        <v>10</v>
      </c>
      <c r="K18" s="97">
        <v>0.12345</v>
      </c>
      <c r="L18" s="97">
        <f t="shared" si="3"/>
        <v>10.12345</v>
      </c>
    </row>
    <row r="19" spans="1:32" s="42" customFormat="1" ht="37.5" customHeight="1" x14ac:dyDescent="0.25">
      <c r="A19" s="95" t="str">
        <f t="shared" si="1"/>
        <v>1d</v>
      </c>
      <c r="B19" s="197"/>
      <c r="C19" s="207"/>
      <c r="D19" s="194"/>
      <c r="E19" s="75" t="s">
        <v>42</v>
      </c>
      <c r="F19" s="77" t="s">
        <v>43</v>
      </c>
      <c r="G19" s="108" t="s">
        <v>39</v>
      </c>
      <c r="H19" s="109" t="s">
        <v>228</v>
      </c>
      <c r="I19" s="100" t="str">
        <f t="shared" si="2"/>
        <v>Mantenimiento del control</v>
      </c>
      <c r="J19" s="99">
        <f t="shared" si="0"/>
        <v>20</v>
      </c>
      <c r="K19" s="97">
        <v>0.123456</v>
      </c>
      <c r="L19" s="97">
        <f t="shared" si="3"/>
        <v>20.123456000000001</v>
      </c>
    </row>
    <row r="20" spans="1:32" s="42" customFormat="1" ht="37.5" customHeight="1" x14ac:dyDescent="0.25">
      <c r="A20" s="95" t="str">
        <f t="shared" si="1"/>
        <v>1e</v>
      </c>
      <c r="B20" s="197"/>
      <c r="C20" s="207"/>
      <c r="D20" s="194"/>
      <c r="E20" s="75" t="s">
        <v>44</v>
      </c>
      <c r="F20" s="77" t="s">
        <v>45</v>
      </c>
      <c r="G20" s="108" t="s">
        <v>39</v>
      </c>
      <c r="H20" s="109" t="s">
        <v>181</v>
      </c>
      <c r="I20" s="100" t="str">
        <f t="shared" si="2"/>
        <v>Mantenimiento del control</v>
      </c>
      <c r="J20" s="99">
        <f t="shared" si="0"/>
        <v>20</v>
      </c>
      <c r="K20" s="97">
        <v>0.12345678</v>
      </c>
      <c r="L20" s="97">
        <f t="shared" si="3"/>
        <v>20.123456780000001</v>
      </c>
    </row>
    <row r="21" spans="1:32" s="42" customFormat="1" ht="63.75" customHeight="1" x14ac:dyDescent="0.25">
      <c r="A21" s="95" t="str">
        <f t="shared" si="1"/>
        <v>1f</v>
      </c>
      <c r="B21" s="197"/>
      <c r="C21" s="207"/>
      <c r="D21" s="194"/>
      <c r="E21" s="75" t="s">
        <v>46</v>
      </c>
      <c r="F21" s="77" t="s">
        <v>47</v>
      </c>
      <c r="G21" s="108" t="s">
        <v>76</v>
      </c>
      <c r="H21" s="109" t="s">
        <v>182</v>
      </c>
      <c r="I21" s="100" t="str">
        <f t="shared" si="2"/>
        <v>Oportunidad de mejora</v>
      </c>
      <c r="J21" s="99">
        <f t="shared" si="0"/>
        <v>10</v>
      </c>
      <c r="K21" s="97">
        <v>0.123456789</v>
      </c>
      <c r="L21" s="97">
        <f t="shared" si="3"/>
        <v>10.123456789</v>
      </c>
    </row>
    <row r="22" spans="1:32" s="42" customFormat="1" ht="65.25" customHeight="1" x14ac:dyDescent="0.25">
      <c r="A22" s="95" t="str">
        <f t="shared" si="1"/>
        <v>1g</v>
      </c>
      <c r="B22" s="197"/>
      <c r="C22" s="207"/>
      <c r="D22" s="194"/>
      <c r="E22" s="75" t="s">
        <v>48</v>
      </c>
      <c r="F22" s="77" t="s">
        <v>49</v>
      </c>
      <c r="G22" s="108" t="s">
        <v>76</v>
      </c>
      <c r="H22" s="109" t="s">
        <v>223</v>
      </c>
      <c r="I22" s="100" t="str">
        <f t="shared" si="2"/>
        <v>Oportunidad de mejora</v>
      </c>
      <c r="J22" s="99">
        <f t="shared" si="0"/>
        <v>10</v>
      </c>
      <c r="K22" s="97">
        <v>0.12345678910000001</v>
      </c>
      <c r="L22" s="97">
        <f t="shared" si="3"/>
        <v>10.1234567891</v>
      </c>
    </row>
    <row r="23" spans="1:32" s="42" customFormat="1" ht="62.25" customHeight="1" x14ac:dyDescent="0.25">
      <c r="A23" s="95" t="str">
        <f t="shared" si="1"/>
        <v>1h</v>
      </c>
      <c r="B23" s="197"/>
      <c r="C23" s="207"/>
      <c r="D23" s="194"/>
      <c r="E23" s="75" t="s">
        <v>50</v>
      </c>
      <c r="F23" s="77" t="s">
        <v>51</v>
      </c>
      <c r="G23" s="108" t="s">
        <v>76</v>
      </c>
      <c r="H23" s="109" t="s">
        <v>183</v>
      </c>
      <c r="I23" s="100" t="str">
        <f t="shared" si="2"/>
        <v>Oportunidad de mejora</v>
      </c>
      <c r="J23" s="99">
        <f t="shared" si="0"/>
        <v>10</v>
      </c>
      <c r="K23" s="97">
        <v>0.12345678911999999</v>
      </c>
      <c r="L23" s="97">
        <f t="shared" si="3"/>
        <v>10.12345678912</v>
      </c>
    </row>
    <row r="24" spans="1:32" s="42" customFormat="1" ht="57.75" customHeight="1" x14ac:dyDescent="0.25">
      <c r="A24" s="95" t="str">
        <f t="shared" si="1"/>
        <v>1i</v>
      </c>
      <c r="B24" s="197"/>
      <c r="C24" s="207"/>
      <c r="D24" s="194"/>
      <c r="E24" s="75" t="s">
        <v>52</v>
      </c>
      <c r="F24" s="77" t="s">
        <v>53</v>
      </c>
      <c r="G24" s="108" t="s">
        <v>76</v>
      </c>
      <c r="H24" s="109" t="s">
        <v>184</v>
      </c>
      <c r="I24" s="100" t="str">
        <f t="shared" si="2"/>
        <v>Oportunidad de mejora</v>
      </c>
      <c r="J24" s="99">
        <f t="shared" si="0"/>
        <v>10</v>
      </c>
      <c r="K24" s="97">
        <v>0.123456789123</v>
      </c>
      <c r="L24" s="97">
        <f t="shared" si="3"/>
        <v>10.123456789123001</v>
      </c>
    </row>
    <row r="25" spans="1:32" s="42" customFormat="1" ht="52.5" customHeight="1" x14ac:dyDescent="0.25">
      <c r="A25" s="95" t="str">
        <f t="shared" si="1"/>
        <v>1j</v>
      </c>
      <c r="B25" s="197"/>
      <c r="C25" s="207"/>
      <c r="D25" s="194"/>
      <c r="E25" s="75" t="s">
        <v>54</v>
      </c>
      <c r="F25" s="77" t="s">
        <v>55</v>
      </c>
      <c r="G25" s="108" t="s">
        <v>39</v>
      </c>
      <c r="H25" s="109" t="s">
        <v>222</v>
      </c>
      <c r="I25" s="100" t="str">
        <f t="shared" si="2"/>
        <v>Mantenimiento del control</v>
      </c>
      <c r="J25" s="99">
        <f t="shared" si="0"/>
        <v>20</v>
      </c>
      <c r="K25" s="97">
        <v>0.1234567891234</v>
      </c>
      <c r="L25" s="97">
        <f t="shared" si="3"/>
        <v>20.123456789123399</v>
      </c>
    </row>
    <row r="26" spans="1:32" s="42" customFormat="1" ht="42" customHeight="1" x14ac:dyDescent="0.25">
      <c r="A26" s="95" t="str">
        <f t="shared" si="1"/>
        <v>1k</v>
      </c>
      <c r="B26" s="197"/>
      <c r="C26" s="207"/>
      <c r="D26" s="194"/>
      <c r="E26" s="75" t="s">
        <v>56</v>
      </c>
      <c r="F26" s="77" t="s">
        <v>57</v>
      </c>
      <c r="G26" s="108" t="s">
        <v>76</v>
      </c>
      <c r="H26" s="109" t="s">
        <v>185</v>
      </c>
      <c r="I26" s="100" t="str">
        <f t="shared" si="2"/>
        <v>Oportunidad de mejora</v>
      </c>
      <c r="J26" s="99">
        <f t="shared" si="0"/>
        <v>10</v>
      </c>
      <c r="K26" s="97">
        <v>0.12345678912345</v>
      </c>
      <c r="L26" s="97">
        <f t="shared" si="3"/>
        <v>10.12345678912345</v>
      </c>
    </row>
    <row r="27" spans="1:32" s="42" customFormat="1" ht="83.25" thickBot="1" x14ac:dyDescent="0.3">
      <c r="A27" s="95" t="str">
        <f t="shared" si="1"/>
        <v>1l</v>
      </c>
      <c r="B27" s="198"/>
      <c r="C27" s="208"/>
      <c r="D27" s="195"/>
      <c r="E27" s="78" t="s">
        <v>58</v>
      </c>
      <c r="F27" s="79" t="s">
        <v>59</v>
      </c>
      <c r="G27" s="110" t="s">
        <v>39</v>
      </c>
      <c r="H27" s="111" t="s">
        <v>224</v>
      </c>
      <c r="I27" s="101" t="str">
        <f t="shared" si="2"/>
        <v>Mantenimiento del control</v>
      </c>
      <c r="J27" s="99">
        <f t="shared" si="0"/>
        <v>20</v>
      </c>
      <c r="K27" s="97">
        <v>0.12345678912345601</v>
      </c>
      <c r="L27" s="97">
        <f t="shared" si="3"/>
        <v>20.123456789123455</v>
      </c>
    </row>
    <row r="28" spans="1:32" s="42" customFormat="1" ht="44.25" customHeight="1" x14ac:dyDescent="0.25">
      <c r="A28" s="95" t="str">
        <f>2&amp;E28</f>
        <v>2a</v>
      </c>
      <c r="B28" s="199" t="s">
        <v>60</v>
      </c>
      <c r="C28" s="209" t="s">
        <v>61</v>
      </c>
      <c r="D28" s="202" t="s">
        <v>62</v>
      </c>
      <c r="E28" s="73" t="s">
        <v>34</v>
      </c>
      <c r="F28" s="74" t="s">
        <v>63</v>
      </c>
      <c r="G28" s="104" t="s">
        <v>76</v>
      </c>
      <c r="H28" s="105" t="s">
        <v>225</v>
      </c>
      <c r="I28" s="96" t="str">
        <f t="shared" si="2"/>
        <v>Oportunidad de mejora</v>
      </c>
      <c r="J28" s="97">
        <f>+IF(G28="Si",40,IF(G28="En proceso",30,20))</f>
        <v>30</v>
      </c>
      <c r="K28" s="97">
        <v>0.23</v>
      </c>
      <c r="L28" s="97">
        <f t="shared" si="3"/>
        <v>30.23</v>
      </c>
    </row>
    <row r="29" spans="1:32" s="42" customFormat="1" ht="148.5" x14ac:dyDescent="0.25">
      <c r="A29" s="95" t="str">
        <f t="shared" ref="A29:A31" si="4">2&amp;E29</f>
        <v>2b</v>
      </c>
      <c r="B29" s="200"/>
      <c r="C29" s="210"/>
      <c r="D29" s="203"/>
      <c r="E29" s="75" t="s">
        <v>37</v>
      </c>
      <c r="F29" s="77" t="s">
        <v>64</v>
      </c>
      <c r="G29" s="108" t="s">
        <v>76</v>
      </c>
      <c r="H29" s="130" t="s">
        <v>227</v>
      </c>
      <c r="I29" s="100" t="str">
        <f t="shared" si="2"/>
        <v>Oportunidad de mejora</v>
      </c>
      <c r="J29" s="97">
        <f>+IF(G29="Si",40,IF(G29="En proceso",30,20))</f>
        <v>30</v>
      </c>
      <c r="K29" s="97">
        <v>0.23400000000000001</v>
      </c>
      <c r="L29" s="97">
        <f t="shared" si="3"/>
        <v>30.234000000000002</v>
      </c>
    </row>
    <row r="30" spans="1:32" s="42" customFormat="1" ht="115.5" x14ac:dyDescent="0.25">
      <c r="A30" s="95" t="str">
        <f t="shared" si="4"/>
        <v>2c</v>
      </c>
      <c r="B30" s="200"/>
      <c r="C30" s="210"/>
      <c r="D30" s="203"/>
      <c r="E30" s="75" t="s">
        <v>40</v>
      </c>
      <c r="F30" s="77" t="s">
        <v>65</v>
      </c>
      <c r="G30" s="108" t="s">
        <v>76</v>
      </c>
      <c r="H30" s="109" t="s">
        <v>232</v>
      </c>
      <c r="I30" s="100" t="str">
        <f t="shared" si="2"/>
        <v>Oportunidad de mejora</v>
      </c>
      <c r="J30" s="97">
        <f>+IF(G30="Si",40,IF(G30="En proceso",30,20))</f>
        <v>30</v>
      </c>
      <c r="K30" s="97">
        <v>0.23449999999999999</v>
      </c>
      <c r="L30" s="97">
        <f t="shared" si="3"/>
        <v>30.234500000000001</v>
      </c>
    </row>
    <row r="31" spans="1:32" s="42" customFormat="1" ht="63.75" thickBot="1" x14ac:dyDescent="0.3">
      <c r="A31" s="95" t="str">
        <f t="shared" si="4"/>
        <v>2d</v>
      </c>
      <c r="B31" s="201"/>
      <c r="C31" s="211"/>
      <c r="D31" s="204"/>
      <c r="E31" s="78" t="s">
        <v>42</v>
      </c>
      <c r="F31" s="79" t="s">
        <v>66</v>
      </c>
      <c r="G31" s="110" t="s">
        <v>76</v>
      </c>
      <c r="H31" s="111" t="s">
        <v>186</v>
      </c>
      <c r="I31" s="101" t="str">
        <f t="shared" si="2"/>
        <v>Oportunidad de mejora</v>
      </c>
      <c r="J31" s="97">
        <f>+IF(G31="Si",40,IF(G31="En proceso",30,20))</f>
        <v>30</v>
      </c>
      <c r="K31" s="97">
        <v>0.23455999999999999</v>
      </c>
      <c r="L31" s="97">
        <f t="shared" si="3"/>
        <v>30.234559999999998</v>
      </c>
    </row>
    <row r="32" spans="1:32" s="42" customFormat="1" ht="49.5" customHeight="1" x14ac:dyDescent="0.25">
      <c r="A32" s="95" t="str">
        <f>3&amp;E32</f>
        <v>3a</v>
      </c>
      <c r="B32" s="221" t="s">
        <v>67</v>
      </c>
      <c r="C32" s="221" t="s">
        <v>61</v>
      </c>
      <c r="D32" s="222" t="s">
        <v>68</v>
      </c>
      <c r="E32" s="80" t="s">
        <v>34</v>
      </c>
      <c r="F32" s="77" t="s">
        <v>69</v>
      </c>
      <c r="G32" s="108" t="s">
        <v>76</v>
      </c>
      <c r="H32" s="109" t="s">
        <v>187</v>
      </c>
      <c r="I32" s="100" t="str">
        <f t="shared" si="2"/>
        <v>Oportunidad de mejora</v>
      </c>
      <c r="J32" s="97">
        <f t="shared" ref="J32:J37" si="5">+IF(G32="Si",40,IF(G32="En proceso",30,20))</f>
        <v>30</v>
      </c>
      <c r="K32" s="102">
        <v>0.234567</v>
      </c>
      <c r="L32" s="97">
        <f t="shared" ref="L32:L37" si="6">+J32+K32</f>
        <v>30.234566999999998</v>
      </c>
      <c r="M32" s="41"/>
      <c r="N32" s="41"/>
      <c r="O32" s="41"/>
      <c r="P32" s="41"/>
      <c r="Q32" s="41"/>
      <c r="R32" s="41"/>
      <c r="S32" s="41"/>
      <c r="T32" s="41"/>
      <c r="U32" s="41"/>
      <c r="V32" s="41"/>
      <c r="W32" s="41"/>
      <c r="X32" s="41"/>
      <c r="Y32" s="41"/>
      <c r="Z32" s="41"/>
      <c r="AA32" s="41"/>
      <c r="AB32" s="41"/>
      <c r="AC32" s="41"/>
      <c r="AD32" s="41"/>
      <c r="AE32" s="41"/>
      <c r="AF32" s="41"/>
    </row>
    <row r="33" spans="1:32" s="42" customFormat="1" ht="49.5" customHeight="1" x14ac:dyDescent="0.25">
      <c r="A33" s="95" t="str">
        <f t="shared" ref="A33:A34" si="7">3&amp;E33</f>
        <v>3b</v>
      </c>
      <c r="B33" s="221"/>
      <c r="C33" s="221"/>
      <c r="D33" s="222"/>
      <c r="E33" s="80" t="s">
        <v>37</v>
      </c>
      <c r="F33" s="77" t="s">
        <v>70</v>
      </c>
      <c r="G33" s="108" t="s">
        <v>76</v>
      </c>
      <c r="H33" s="109" t="s">
        <v>188</v>
      </c>
      <c r="I33" s="100" t="str">
        <f t="shared" si="2"/>
        <v>Oportunidad de mejora</v>
      </c>
      <c r="J33" s="97">
        <f t="shared" si="5"/>
        <v>30</v>
      </c>
      <c r="K33" s="102">
        <v>0.23456779999999999</v>
      </c>
      <c r="L33" s="97">
        <f t="shared" si="6"/>
        <v>30.234567800000001</v>
      </c>
      <c r="M33" s="41"/>
      <c r="N33" s="41"/>
      <c r="O33" s="41"/>
      <c r="P33" s="41"/>
      <c r="Q33" s="41"/>
      <c r="R33" s="41"/>
      <c r="S33" s="41"/>
      <c r="T33" s="41"/>
      <c r="U33" s="41"/>
      <c r="V33" s="41"/>
      <c r="W33" s="41"/>
      <c r="X33" s="41"/>
      <c r="Y33" s="41"/>
      <c r="Z33" s="41"/>
      <c r="AA33" s="41"/>
      <c r="AB33" s="41"/>
      <c r="AC33" s="41"/>
      <c r="AD33" s="41"/>
      <c r="AE33" s="41"/>
      <c r="AF33" s="41"/>
    </row>
    <row r="34" spans="1:32" s="42" customFormat="1" ht="66" customHeight="1" thickBot="1" x14ac:dyDescent="0.3">
      <c r="A34" s="95" t="str">
        <f t="shared" si="7"/>
        <v>3c</v>
      </c>
      <c r="B34" s="221"/>
      <c r="C34" s="221"/>
      <c r="D34" s="222"/>
      <c r="E34" s="80" t="s">
        <v>40</v>
      </c>
      <c r="F34" s="77" t="s">
        <v>71</v>
      </c>
      <c r="G34" s="108" t="s">
        <v>36</v>
      </c>
      <c r="H34" s="109" t="s">
        <v>189</v>
      </c>
      <c r="I34" s="100" t="str">
        <f t="shared" si="2"/>
        <v>Deficiencia de control</v>
      </c>
      <c r="J34" s="97">
        <f t="shared" si="5"/>
        <v>20</v>
      </c>
      <c r="K34" s="102">
        <v>0.23456789</v>
      </c>
      <c r="L34" s="97">
        <f t="shared" si="6"/>
        <v>20.234567890000001</v>
      </c>
      <c r="M34" s="41"/>
      <c r="N34" s="41"/>
      <c r="O34" s="41"/>
      <c r="P34" s="41"/>
      <c r="Q34" s="41"/>
      <c r="R34" s="41"/>
      <c r="S34" s="41"/>
      <c r="T34" s="41"/>
      <c r="U34" s="41"/>
      <c r="V34" s="41"/>
      <c r="W34" s="41"/>
      <c r="X34" s="41"/>
      <c r="Y34" s="41"/>
      <c r="Z34" s="41"/>
      <c r="AA34" s="41"/>
      <c r="AB34" s="41"/>
      <c r="AC34" s="41"/>
      <c r="AD34" s="41"/>
      <c r="AE34" s="41"/>
      <c r="AF34" s="41"/>
    </row>
    <row r="35" spans="1:32" s="42" customFormat="1" ht="60.75" customHeight="1" x14ac:dyDescent="0.25">
      <c r="A35" s="95" t="str">
        <f>4&amp;E35</f>
        <v>4a</v>
      </c>
      <c r="B35" s="223" t="s">
        <v>72</v>
      </c>
      <c r="C35" s="210" t="s">
        <v>61</v>
      </c>
      <c r="D35" s="203" t="s">
        <v>73</v>
      </c>
      <c r="E35" s="73" t="s">
        <v>34</v>
      </c>
      <c r="F35" s="74" t="s">
        <v>74</v>
      </c>
      <c r="G35" s="104" t="s">
        <v>76</v>
      </c>
      <c r="H35" s="105" t="s">
        <v>190</v>
      </c>
      <c r="I35" s="96" t="str">
        <f t="shared" si="2"/>
        <v>Oportunidad de mejora</v>
      </c>
      <c r="J35" s="97">
        <f t="shared" si="5"/>
        <v>30</v>
      </c>
      <c r="K35" s="102">
        <v>0.23456789119999999</v>
      </c>
      <c r="L35" s="97">
        <f t="shared" si="6"/>
        <v>30.234567891200001</v>
      </c>
      <c r="M35" s="41"/>
      <c r="N35" s="41"/>
      <c r="O35" s="41"/>
      <c r="P35" s="41"/>
      <c r="Q35" s="41"/>
    </row>
    <row r="36" spans="1:32" s="42" customFormat="1" ht="57.75" customHeight="1" x14ac:dyDescent="0.25">
      <c r="A36" s="95" t="str">
        <f t="shared" ref="A36:A37" si="8">4&amp;E36</f>
        <v>4b</v>
      </c>
      <c r="B36" s="223"/>
      <c r="C36" s="210"/>
      <c r="D36" s="203"/>
      <c r="E36" s="75" t="s">
        <v>37</v>
      </c>
      <c r="F36" s="77" t="s">
        <v>75</v>
      </c>
      <c r="G36" s="108" t="s">
        <v>76</v>
      </c>
      <c r="H36" s="109" t="s">
        <v>191</v>
      </c>
      <c r="I36" s="100" t="str">
        <f t="shared" si="2"/>
        <v>Oportunidad de mejora</v>
      </c>
      <c r="J36" s="97">
        <f t="shared" si="5"/>
        <v>30</v>
      </c>
      <c r="K36" s="102">
        <v>0.23456789122999999</v>
      </c>
      <c r="L36" s="97">
        <f t="shared" si="6"/>
        <v>30.23456789123</v>
      </c>
      <c r="M36" s="41"/>
      <c r="N36" s="41"/>
      <c r="O36" s="41"/>
      <c r="P36" s="41"/>
      <c r="Q36" s="41"/>
    </row>
    <row r="37" spans="1:32" s="42" customFormat="1" ht="49.5" customHeight="1" thickBot="1" x14ac:dyDescent="0.3">
      <c r="A37" s="95" t="str">
        <f t="shared" si="8"/>
        <v>4c</v>
      </c>
      <c r="B37" s="223"/>
      <c r="C37" s="210"/>
      <c r="D37" s="203"/>
      <c r="E37" s="75" t="s">
        <v>40</v>
      </c>
      <c r="F37" s="77" t="s">
        <v>77</v>
      </c>
      <c r="G37" s="108" t="s">
        <v>39</v>
      </c>
      <c r="H37" s="109" t="s">
        <v>192</v>
      </c>
      <c r="I37" s="100" t="str">
        <f t="shared" si="2"/>
        <v>Mantenimiento del control</v>
      </c>
      <c r="J37" s="97">
        <f t="shared" si="5"/>
        <v>40</v>
      </c>
      <c r="K37" s="102">
        <v>0.23456789123399999</v>
      </c>
      <c r="L37" s="97">
        <f t="shared" si="6"/>
        <v>40.234567891234001</v>
      </c>
      <c r="M37" s="41"/>
      <c r="N37" s="41"/>
      <c r="O37" s="41"/>
      <c r="P37" s="41"/>
      <c r="Q37" s="41"/>
    </row>
    <row r="38" spans="1:32" s="42" customFormat="1" ht="85.5" customHeight="1" x14ac:dyDescent="0.25">
      <c r="A38" s="95" t="str">
        <f>5&amp;E38</f>
        <v>5a</v>
      </c>
      <c r="B38" s="224" t="s">
        <v>78</v>
      </c>
      <c r="C38" s="212" t="s">
        <v>79</v>
      </c>
      <c r="D38" s="227" t="s">
        <v>80</v>
      </c>
      <c r="E38" s="73" t="s">
        <v>34</v>
      </c>
      <c r="F38" s="81" t="s">
        <v>81</v>
      </c>
      <c r="G38" s="112" t="s">
        <v>76</v>
      </c>
      <c r="H38" s="113" t="s">
        <v>193</v>
      </c>
      <c r="I38" s="103" t="str">
        <f t="shared" si="2"/>
        <v>Oportunidad de mejora</v>
      </c>
      <c r="J38" s="97">
        <f>+IF(G38="Si",60,IF(G38="En proceso",50,40))</f>
        <v>50</v>
      </c>
      <c r="K38" s="97">
        <v>0.31</v>
      </c>
      <c r="L38" s="97">
        <f t="shared" si="3"/>
        <v>50.31</v>
      </c>
    </row>
    <row r="39" spans="1:32" s="42" customFormat="1" ht="82.5" x14ac:dyDescent="0.25">
      <c r="A39" s="95" t="str">
        <f t="shared" ref="A39:A42" si="9">5&amp;E39</f>
        <v>5b</v>
      </c>
      <c r="B39" s="225"/>
      <c r="C39" s="213"/>
      <c r="D39" s="228"/>
      <c r="E39" s="75" t="s">
        <v>37</v>
      </c>
      <c r="F39" s="77" t="s">
        <v>82</v>
      </c>
      <c r="G39" s="108" t="s">
        <v>76</v>
      </c>
      <c r="H39" s="109" t="s">
        <v>194</v>
      </c>
      <c r="I39" s="100" t="str">
        <f t="shared" si="2"/>
        <v>Oportunidad de mejora</v>
      </c>
      <c r="J39" s="97">
        <f>+IF(G39="Si",60,IF(G39="En proceso",50,40))</f>
        <v>50</v>
      </c>
      <c r="K39" s="97">
        <v>0.32300000000000001</v>
      </c>
      <c r="L39" s="97">
        <f t="shared" si="3"/>
        <v>50.323</v>
      </c>
    </row>
    <row r="40" spans="1:32" s="42" customFormat="1" ht="82.5" x14ac:dyDescent="0.25">
      <c r="A40" s="95" t="str">
        <f t="shared" si="9"/>
        <v>5c</v>
      </c>
      <c r="B40" s="225"/>
      <c r="C40" s="213"/>
      <c r="D40" s="228"/>
      <c r="E40" s="75" t="s">
        <v>40</v>
      </c>
      <c r="F40" s="77" t="s">
        <v>83</v>
      </c>
      <c r="G40" s="108" t="s">
        <v>76</v>
      </c>
      <c r="H40" s="109" t="s">
        <v>233</v>
      </c>
      <c r="I40" s="100" t="str">
        <f t="shared" si="2"/>
        <v>Oportunidad de mejora</v>
      </c>
      <c r="J40" s="97">
        <f>+IF(G40="Si",60,IF(G40="En proceso",50,40))</f>
        <v>50</v>
      </c>
      <c r="K40" s="97">
        <v>0.32400000000000001</v>
      </c>
      <c r="L40" s="97">
        <f t="shared" si="3"/>
        <v>50.323999999999998</v>
      </c>
    </row>
    <row r="41" spans="1:32" s="42" customFormat="1" ht="94.5" x14ac:dyDescent="0.25">
      <c r="A41" s="95" t="str">
        <f t="shared" si="9"/>
        <v>5d</v>
      </c>
      <c r="B41" s="225"/>
      <c r="C41" s="213"/>
      <c r="D41" s="228"/>
      <c r="E41" s="75" t="s">
        <v>42</v>
      </c>
      <c r="F41" s="77" t="s">
        <v>84</v>
      </c>
      <c r="G41" s="108" t="s">
        <v>76</v>
      </c>
      <c r="H41" s="109" t="s">
        <v>195</v>
      </c>
      <c r="I41" s="100" t="str">
        <f t="shared" si="2"/>
        <v>Oportunidad de mejora</v>
      </c>
      <c r="J41" s="97">
        <f>+IF(G41="Si",60,IF(G41="En proceso",50,40))</f>
        <v>50</v>
      </c>
      <c r="K41" s="97">
        <v>0.32500000000000001</v>
      </c>
      <c r="L41" s="97">
        <f t="shared" si="3"/>
        <v>50.325000000000003</v>
      </c>
    </row>
    <row r="42" spans="1:32" s="42" customFormat="1" ht="50.25" thickBot="1" x14ac:dyDescent="0.3">
      <c r="A42" s="95" t="str">
        <f t="shared" si="9"/>
        <v>5e</v>
      </c>
      <c r="B42" s="226"/>
      <c r="C42" s="214"/>
      <c r="D42" s="229"/>
      <c r="E42" s="78" t="s">
        <v>44</v>
      </c>
      <c r="F42" s="79" t="s">
        <v>85</v>
      </c>
      <c r="G42" s="110" t="s">
        <v>39</v>
      </c>
      <c r="H42" s="111" t="s">
        <v>196</v>
      </c>
      <c r="I42" s="101" t="str">
        <f t="shared" si="2"/>
        <v>Mantenimiento del control</v>
      </c>
      <c r="J42" s="97">
        <f>+IF(G42="Si",60,IF(G42="En proceso",50,40))</f>
        <v>60</v>
      </c>
      <c r="K42" s="97">
        <v>0.32600000000000001</v>
      </c>
      <c r="L42" s="97">
        <f t="shared" si="3"/>
        <v>60.326000000000001</v>
      </c>
    </row>
    <row r="43" spans="1:32" s="42" customFormat="1" ht="40.5" customHeight="1" x14ac:dyDescent="0.25">
      <c r="A43" s="95" t="str">
        <f>6&amp;E43</f>
        <v>6a</v>
      </c>
      <c r="B43" s="184" t="s">
        <v>86</v>
      </c>
      <c r="C43" s="215" t="s">
        <v>87</v>
      </c>
      <c r="D43" s="181" t="s">
        <v>88</v>
      </c>
      <c r="E43" s="73" t="s">
        <v>34</v>
      </c>
      <c r="F43" s="74" t="s">
        <v>89</v>
      </c>
      <c r="G43" s="104" t="s">
        <v>76</v>
      </c>
      <c r="H43" s="105" t="s">
        <v>197</v>
      </c>
      <c r="I43" s="96" t="str">
        <f t="shared" si="2"/>
        <v>Oportunidad de mejora</v>
      </c>
      <c r="J43" s="97">
        <f t="shared" ref="J43:J49" si="10">+IF(G43="Si",80,IF(G43="En proceso",70,60))</f>
        <v>70</v>
      </c>
      <c r="K43" s="97">
        <v>0.41199999999999998</v>
      </c>
      <c r="L43" s="97">
        <f t="shared" si="3"/>
        <v>70.412000000000006</v>
      </c>
    </row>
    <row r="44" spans="1:32" s="42" customFormat="1" ht="33" customHeight="1" x14ac:dyDescent="0.25">
      <c r="A44" s="95" t="str">
        <f t="shared" ref="A44:A49" si="11">6&amp;E44</f>
        <v>6b</v>
      </c>
      <c r="B44" s="185"/>
      <c r="C44" s="216"/>
      <c r="D44" s="182"/>
      <c r="E44" s="75" t="s">
        <v>37</v>
      </c>
      <c r="F44" s="77" t="s">
        <v>90</v>
      </c>
      <c r="G44" s="108" t="s">
        <v>76</v>
      </c>
      <c r="H44" s="109" t="s">
        <v>213</v>
      </c>
      <c r="I44" s="100" t="str">
        <f t="shared" si="2"/>
        <v>Oportunidad de mejora</v>
      </c>
      <c r="J44" s="97">
        <f t="shared" si="10"/>
        <v>70</v>
      </c>
      <c r="K44" s="97">
        <v>0.4123</v>
      </c>
      <c r="L44" s="97">
        <f t="shared" si="3"/>
        <v>70.412300000000002</v>
      </c>
    </row>
    <row r="45" spans="1:32" s="42" customFormat="1" ht="47.25" x14ac:dyDescent="0.25">
      <c r="A45" s="95" t="str">
        <f t="shared" si="11"/>
        <v>6c</v>
      </c>
      <c r="B45" s="185"/>
      <c r="C45" s="216"/>
      <c r="D45" s="182"/>
      <c r="E45" s="75" t="s">
        <v>40</v>
      </c>
      <c r="F45" s="77" t="s">
        <v>91</v>
      </c>
      <c r="G45" s="108" t="s">
        <v>39</v>
      </c>
      <c r="H45" s="109" t="s">
        <v>198</v>
      </c>
      <c r="I45" s="100" t="str">
        <f t="shared" si="2"/>
        <v>Mantenimiento del control</v>
      </c>
      <c r="J45" s="97">
        <f t="shared" si="10"/>
        <v>80</v>
      </c>
      <c r="K45" s="97">
        <v>0.41233999999999998</v>
      </c>
      <c r="L45" s="97">
        <f t="shared" si="3"/>
        <v>80.41234</v>
      </c>
    </row>
    <row r="46" spans="1:32" s="42" customFormat="1" ht="46.5" x14ac:dyDescent="0.25">
      <c r="A46" s="95" t="str">
        <f t="shared" si="11"/>
        <v>6d</v>
      </c>
      <c r="B46" s="185"/>
      <c r="C46" s="216"/>
      <c r="D46" s="182"/>
      <c r="E46" s="75" t="s">
        <v>42</v>
      </c>
      <c r="F46" s="77" t="s">
        <v>92</v>
      </c>
      <c r="G46" s="108" t="s">
        <v>76</v>
      </c>
      <c r="H46" s="109" t="s">
        <v>199</v>
      </c>
      <c r="I46" s="100" t="str">
        <f t="shared" si="2"/>
        <v>Oportunidad de mejora</v>
      </c>
      <c r="J46" s="97">
        <f t="shared" si="10"/>
        <v>70</v>
      </c>
      <c r="K46" s="97">
        <v>0.41234500000000002</v>
      </c>
      <c r="L46" s="97">
        <f t="shared" si="3"/>
        <v>70.412345000000002</v>
      </c>
    </row>
    <row r="47" spans="1:32" s="42" customFormat="1" ht="165" x14ac:dyDescent="0.25">
      <c r="A47" s="95" t="str">
        <f t="shared" si="11"/>
        <v>6e</v>
      </c>
      <c r="B47" s="185"/>
      <c r="C47" s="216"/>
      <c r="D47" s="182"/>
      <c r="E47" s="75" t="s">
        <v>44</v>
      </c>
      <c r="F47" s="77" t="s">
        <v>93</v>
      </c>
      <c r="G47" s="108" t="s">
        <v>76</v>
      </c>
      <c r="H47" s="109" t="s">
        <v>200</v>
      </c>
      <c r="I47" s="100" t="str">
        <f t="shared" si="2"/>
        <v>Oportunidad de mejora</v>
      </c>
      <c r="J47" s="97">
        <f t="shared" si="10"/>
        <v>70</v>
      </c>
      <c r="K47" s="97">
        <v>0.41234559999999998</v>
      </c>
      <c r="L47" s="97">
        <f t="shared" si="3"/>
        <v>70.412345599999995</v>
      </c>
    </row>
    <row r="48" spans="1:32" s="42" customFormat="1" ht="66" x14ac:dyDescent="0.25">
      <c r="A48" s="95" t="str">
        <f t="shared" si="11"/>
        <v>6f</v>
      </c>
      <c r="B48" s="185"/>
      <c r="C48" s="216"/>
      <c r="D48" s="182"/>
      <c r="E48" s="75" t="s">
        <v>46</v>
      </c>
      <c r="F48" s="77" t="s">
        <v>94</v>
      </c>
      <c r="G48" s="108" t="s">
        <v>39</v>
      </c>
      <c r="H48" s="109" t="s">
        <v>201</v>
      </c>
      <c r="I48" s="100" t="str">
        <f t="shared" si="2"/>
        <v>Mantenimiento del control</v>
      </c>
      <c r="J48" s="97">
        <f t="shared" si="10"/>
        <v>80</v>
      </c>
      <c r="K48" s="97">
        <v>0.41234567</v>
      </c>
      <c r="L48" s="97">
        <f t="shared" si="3"/>
        <v>80.412345669999993</v>
      </c>
    </row>
    <row r="49" spans="1:17" s="42" customFormat="1" ht="66.75" thickBot="1" x14ac:dyDescent="0.3">
      <c r="A49" s="95" t="str">
        <f t="shared" si="11"/>
        <v>6g</v>
      </c>
      <c r="B49" s="186"/>
      <c r="C49" s="217"/>
      <c r="D49" s="183"/>
      <c r="E49" s="78" t="s">
        <v>48</v>
      </c>
      <c r="F49" s="79" t="s">
        <v>95</v>
      </c>
      <c r="G49" s="110" t="s">
        <v>76</v>
      </c>
      <c r="H49" s="111" t="s">
        <v>202</v>
      </c>
      <c r="I49" s="101" t="str">
        <f t="shared" si="2"/>
        <v>Oportunidad de mejora</v>
      </c>
      <c r="J49" s="97">
        <f t="shared" si="10"/>
        <v>70</v>
      </c>
      <c r="K49" s="97">
        <v>0.41234567799999999</v>
      </c>
      <c r="L49" s="97">
        <f t="shared" si="3"/>
        <v>70.412345677999994</v>
      </c>
    </row>
    <row r="50" spans="1:17" s="42" customFormat="1" ht="54.75" customHeight="1" x14ac:dyDescent="0.25">
      <c r="A50" s="95" t="str">
        <f>7&amp;E50</f>
        <v>7a</v>
      </c>
      <c r="B50" s="190" t="s">
        <v>96</v>
      </c>
      <c r="C50" s="218" t="s">
        <v>97</v>
      </c>
      <c r="D50" s="187" t="s">
        <v>98</v>
      </c>
      <c r="E50" s="73" t="s">
        <v>34</v>
      </c>
      <c r="F50" s="74" t="s">
        <v>99</v>
      </c>
      <c r="G50" s="104" t="s">
        <v>76</v>
      </c>
      <c r="H50" s="105" t="s">
        <v>203</v>
      </c>
      <c r="I50" s="96" t="str">
        <f t="shared" si="2"/>
        <v>Oportunidad de mejora</v>
      </c>
      <c r="J50" s="97">
        <f>+IF(G50="Si",120,IF(G50="En proceso",100,80))</f>
        <v>100</v>
      </c>
      <c r="K50" s="97">
        <v>0.85099999999999998</v>
      </c>
      <c r="L50" s="97">
        <f t="shared" si="3"/>
        <v>100.851</v>
      </c>
    </row>
    <row r="51" spans="1:17" s="42" customFormat="1" ht="94.5" x14ac:dyDescent="0.25">
      <c r="A51" s="95" t="str">
        <f t="shared" ref="A51:A53" si="12">7&amp;E51</f>
        <v>7d</v>
      </c>
      <c r="B51" s="191"/>
      <c r="C51" s="219"/>
      <c r="D51" s="188"/>
      <c r="E51" s="75" t="s">
        <v>42</v>
      </c>
      <c r="F51" s="77" t="s">
        <v>100</v>
      </c>
      <c r="G51" s="108" t="s">
        <v>76</v>
      </c>
      <c r="H51" s="109" t="s">
        <v>206</v>
      </c>
      <c r="I51" s="100" t="str">
        <f t="shared" si="2"/>
        <v>Oportunidad de mejora</v>
      </c>
      <c r="J51" s="97">
        <f t="shared" ref="J51:J59" si="13">+IF(G51="Si",120,IF(G51="En proceso",100,80))</f>
        <v>100</v>
      </c>
      <c r="K51" s="97">
        <v>0.85119999999999996</v>
      </c>
      <c r="L51" s="97">
        <f t="shared" si="3"/>
        <v>100.85120000000001</v>
      </c>
    </row>
    <row r="52" spans="1:17" s="42" customFormat="1" ht="82.5" x14ac:dyDescent="0.25">
      <c r="A52" s="95" t="str">
        <f t="shared" si="12"/>
        <v>7f</v>
      </c>
      <c r="B52" s="191"/>
      <c r="C52" s="219"/>
      <c r="D52" s="188"/>
      <c r="E52" s="75" t="s">
        <v>46</v>
      </c>
      <c r="F52" s="77" t="s">
        <v>101</v>
      </c>
      <c r="G52" s="108" t="s">
        <v>39</v>
      </c>
      <c r="H52" s="109" t="s">
        <v>204</v>
      </c>
      <c r="I52" s="100" t="str">
        <f t="shared" si="2"/>
        <v>Mantenimiento del control</v>
      </c>
      <c r="J52" s="97">
        <f t="shared" si="13"/>
        <v>120</v>
      </c>
      <c r="K52" s="97">
        <v>0.85123000000000004</v>
      </c>
      <c r="L52" s="97">
        <f t="shared" si="3"/>
        <v>120.85123</v>
      </c>
    </row>
    <row r="53" spans="1:17" s="42" customFormat="1" ht="50.25" thickBot="1" x14ac:dyDescent="0.3">
      <c r="A53" s="95" t="str">
        <f t="shared" si="12"/>
        <v>7g</v>
      </c>
      <c r="B53" s="192"/>
      <c r="C53" s="220"/>
      <c r="D53" s="189"/>
      <c r="E53" s="78" t="s">
        <v>48</v>
      </c>
      <c r="F53" s="79" t="s">
        <v>102</v>
      </c>
      <c r="G53" s="110" t="s">
        <v>39</v>
      </c>
      <c r="H53" s="111" t="s">
        <v>205</v>
      </c>
      <c r="I53" s="101" t="str">
        <f t="shared" si="2"/>
        <v>Mantenimiento del control</v>
      </c>
      <c r="J53" s="97">
        <f t="shared" si="13"/>
        <v>120</v>
      </c>
      <c r="K53" s="97">
        <v>0.85123400000000005</v>
      </c>
      <c r="L53" s="97">
        <f t="shared" si="3"/>
        <v>120.85123400000001</v>
      </c>
    </row>
    <row r="54" spans="1:17" s="42" customFormat="1" ht="102.75" customHeight="1" thickBot="1" x14ac:dyDescent="0.3">
      <c r="A54" s="95" t="str">
        <f>8&amp;E54</f>
        <v>8h</v>
      </c>
      <c r="B54" s="127" t="s">
        <v>103</v>
      </c>
      <c r="C54" s="128" t="s">
        <v>97</v>
      </c>
      <c r="D54" s="68" t="s">
        <v>104</v>
      </c>
      <c r="E54" s="73" t="s">
        <v>50</v>
      </c>
      <c r="F54" s="74" t="s">
        <v>105</v>
      </c>
      <c r="G54" s="104" t="s">
        <v>36</v>
      </c>
      <c r="H54" s="105" t="s">
        <v>207</v>
      </c>
      <c r="I54" s="96" t="str">
        <f t="shared" si="2"/>
        <v>Deficiencia de control</v>
      </c>
      <c r="J54" s="97">
        <f t="shared" si="13"/>
        <v>80</v>
      </c>
      <c r="K54" s="97">
        <v>0.85123450000000001</v>
      </c>
      <c r="L54" s="97">
        <f t="shared" si="3"/>
        <v>80.851234500000004</v>
      </c>
    </row>
    <row r="55" spans="1:17" s="42" customFormat="1" ht="54.75" customHeight="1" x14ac:dyDescent="0.25">
      <c r="A55" s="95" t="str">
        <f>9&amp;E55</f>
        <v>9a</v>
      </c>
      <c r="B55" s="190" t="s">
        <v>106</v>
      </c>
      <c r="C55" s="218" t="s">
        <v>97</v>
      </c>
      <c r="D55" s="187" t="s">
        <v>107</v>
      </c>
      <c r="E55" s="73" t="s">
        <v>34</v>
      </c>
      <c r="F55" s="74" t="s">
        <v>108</v>
      </c>
      <c r="G55" s="104" t="s">
        <v>39</v>
      </c>
      <c r="H55" s="105" t="s">
        <v>208</v>
      </c>
      <c r="I55" s="96" t="str">
        <f t="shared" si="2"/>
        <v>Mantenimiento del control</v>
      </c>
      <c r="J55" s="97">
        <f t="shared" si="13"/>
        <v>120</v>
      </c>
      <c r="K55" s="102">
        <v>0.85123455999999997</v>
      </c>
      <c r="L55" s="97">
        <f t="shared" si="3"/>
        <v>120.85123455999999</v>
      </c>
      <c r="M55" s="41"/>
      <c r="N55" s="41"/>
      <c r="O55" s="41"/>
      <c r="P55" s="41"/>
      <c r="Q55" s="41"/>
    </row>
    <row r="56" spans="1:17" s="42" customFormat="1" ht="55.5" customHeight="1" x14ac:dyDescent="0.25">
      <c r="A56" s="95" t="str">
        <f t="shared" ref="A56:A59" si="14">9&amp;E56</f>
        <v>9b</v>
      </c>
      <c r="B56" s="191"/>
      <c r="C56" s="219"/>
      <c r="D56" s="188"/>
      <c r="E56" s="75" t="s">
        <v>37</v>
      </c>
      <c r="F56" s="77" t="s">
        <v>109</v>
      </c>
      <c r="G56" s="108" t="s">
        <v>76</v>
      </c>
      <c r="H56" s="109" t="s">
        <v>209</v>
      </c>
      <c r="I56" s="100" t="str">
        <f t="shared" si="2"/>
        <v>Oportunidad de mejora</v>
      </c>
      <c r="J56" s="97">
        <f t="shared" si="13"/>
        <v>100</v>
      </c>
      <c r="K56" s="102">
        <v>0.851234567</v>
      </c>
      <c r="L56" s="97">
        <f t="shared" si="3"/>
        <v>100.85123456700001</v>
      </c>
      <c r="M56" s="41"/>
      <c r="N56" s="41"/>
      <c r="O56" s="41"/>
      <c r="P56" s="41"/>
      <c r="Q56" s="41"/>
    </row>
    <row r="57" spans="1:17" s="42" customFormat="1" ht="77.25" customHeight="1" x14ac:dyDescent="0.25">
      <c r="A57" s="95" t="str">
        <f t="shared" si="14"/>
        <v>9c</v>
      </c>
      <c r="B57" s="191"/>
      <c r="C57" s="219"/>
      <c r="D57" s="188"/>
      <c r="E57" s="75" t="s">
        <v>40</v>
      </c>
      <c r="F57" s="77" t="s">
        <v>110</v>
      </c>
      <c r="G57" s="108" t="s">
        <v>76</v>
      </c>
      <c r="H57" s="109" t="s">
        <v>210</v>
      </c>
      <c r="I57" s="100" t="str">
        <f t="shared" si="2"/>
        <v>Oportunidad de mejora</v>
      </c>
      <c r="J57" s="97">
        <f t="shared" si="13"/>
        <v>100</v>
      </c>
      <c r="K57" s="102">
        <v>0.85123456779999995</v>
      </c>
      <c r="L57" s="97">
        <f t="shared" si="3"/>
        <v>100.85123456780001</v>
      </c>
      <c r="M57" s="41"/>
      <c r="N57" s="41"/>
      <c r="O57" s="41"/>
      <c r="P57" s="41"/>
      <c r="Q57" s="41"/>
    </row>
    <row r="58" spans="1:17" s="42" customFormat="1" ht="77.25" customHeight="1" x14ac:dyDescent="0.25">
      <c r="A58" s="95" t="str">
        <f t="shared" si="14"/>
        <v>9d</v>
      </c>
      <c r="B58" s="191"/>
      <c r="C58" s="219"/>
      <c r="D58" s="188"/>
      <c r="E58" s="75" t="s">
        <v>42</v>
      </c>
      <c r="F58" s="77" t="s">
        <v>111</v>
      </c>
      <c r="G58" s="108" t="s">
        <v>76</v>
      </c>
      <c r="H58" s="109" t="s">
        <v>211</v>
      </c>
      <c r="I58" s="100" t="str">
        <f t="shared" si="2"/>
        <v>Oportunidad de mejora</v>
      </c>
      <c r="J58" s="97">
        <f t="shared" si="13"/>
        <v>100</v>
      </c>
      <c r="K58" s="102">
        <v>0.85123456788999996</v>
      </c>
      <c r="L58" s="97">
        <f t="shared" si="3"/>
        <v>100.85123456789</v>
      </c>
      <c r="M58" s="41"/>
      <c r="N58" s="41"/>
      <c r="O58" s="41"/>
      <c r="P58" s="41"/>
      <c r="Q58" s="41"/>
    </row>
    <row r="59" spans="1:17" s="42" customFormat="1" ht="77.25" customHeight="1" thickBot="1" x14ac:dyDescent="0.3">
      <c r="A59" s="95" t="str">
        <f t="shared" si="14"/>
        <v>9e</v>
      </c>
      <c r="B59" s="192"/>
      <c r="C59" s="219"/>
      <c r="D59" s="205"/>
      <c r="E59" s="78" t="s">
        <v>44</v>
      </c>
      <c r="F59" s="79" t="s">
        <v>112</v>
      </c>
      <c r="G59" s="110" t="s">
        <v>76</v>
      </c>
      <c r="H59" s="111" t="s">
        <v>212</v>
      </c>
      <c r="I59" s="101" t="str">
        <f t="shared" si="2"/>
        <v>Oportunidad de mejora</v>
      </c>
      <c r="J59" s="97">
        <f t="shared" si="13"/>
        <v>100</v>
      </c>
      <c r="K59" s="102">
        <v>0.85123456789100005</v>
      </c>
      <c r="L59" s="97">
        <f t="shared" si="3"/>
        <v>100.851234567891</v>
      </c>
      <c r="M59" s="41"/>
      <c r="N59" s="41"/>
      <c r="O59" s="41"/>
      <c r="P59" s="41"/>
      <c r="Q59" s="41"/>
    </row>
  </sheetData>
  <sheetProtection sheet="1" objects="1" scenarios="1" formatCells="0" formatColumns="0" formatRows="0"/>
  <mergeCells count="25">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 ref="B14:I14"/>
    <mergeCell ref="D43:D49"/>
    <mergeCell ref="B43:B49"/>
    <mergeCell ref="D50:D53"/>
    <mergeCell ref="B50:B53"/>
    <mergeCell ref="D16:D27"/>
    <mergeCell ref="B16:B27"/>
    <mergeCell ref="B28:B31"/>
    <mergeCell ref="D28:D31"/>
  </mergeCells>
  <dataValidations count="2">
    <dataValidation type="list" allowBlank="1" showInputMessage="1" showErrorMessage="1" sqref="G55:G59 G16:G53">
      <formula1>"Si, No, En proceso"</formula1>
    </dataValidation>
    <dataValidation type="list" allowBlank="1" showInputMessage="1" showErrorMessage="1" sqref="G54">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zoomScale="80" zoomScaleNormal="80" workbookViewId="0">
      <selection activeCell="I26" sqref="I26:M26"/>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5.75" thickTop="1" x14ac:dyDescent="0.25">
      <c r="A3" s="1"/>
      <c r="B3" s="2"/>
      <c r="C3" s="3"/>
      <c r="D3" s="3"/>
      <c r="E3" s="3"/>
      <c r="F3" s="3"/>
      <c r="G3" s="3"/>
      <c r="H3" s="3"/>
      <c r="I3" s="3"/>
      <c r="J3" s="3"/>
      <c r="K3" s="3"/>
      <c r="L3" s="3"/>
      <c r="M3" s="3"/>
      <c r="N3" s="3"/>
      <c r="O3" s="3"/>
      <c r="P3" s="4"/>
      <c r="Q3" s="1"/>
    </row>
    <row r="4" spans="1:17" ht="16.5" x14ac:dyDescent="0.3">
      <c r="A4" s="1"/>
      <c r="B4" s="5"/>
      <c r="C4" s="6"/>
      <c r="D4" s="6"/>
      <c r="E4" s="246" t="s">
        <v>114</v>
      </c>
      <c r="F4" s="248" t="s">
        <v>220</v>
      </c>
      <c r="G4" s="248"/>
      <c r="H4" s="248"/>
      <c r="I4" s="248"/>
      <c r="J4" s="248"/>
      <c r="K4" s="248"/>
      <c r="L4" s="248"/>
      <c r="M4" s="248"/>
      <c r="N4" s="7"/>
      <c r="O4" s="7"/>
      <c r="P4" s="8"/>
      <c r="Q4" s="1"/>
    </row>
    <row r="5" spans="1:17" ht="45.75" customHeight="1" x14ac:dyDescent="0.3">
      <c r="A5" s="1"/>
      <c r="B5" s="5"/>
      <c r="C5" s="6"/>
      <c r="D5" s="6"/>
      <c r="E5" s="247"/>
      <c r="F5" s="248"/>
      <c r="G5" s="248"/>
      <c r="H5" s="248"/>
      <c r="I5" s="248"/>
      <c r="J5" s="248"/>
      <c r="K5" s="248"/>
      <c r="L5" s="248"/>
      <c r="M5" s="248"/>
      <c r="N5" s="7"/>
      <c r="O5" s="7"/>
      <c r="P5" s="8"/>
      <c r="Q5" s="1"/>
    </row>
    <row r="6" spans="1:17" ht="66.75" customHeight="1" x14ac:dyDescent="0.3">
      <c r="A6" s="1"/>
      <c r="B6" s="5"/>
      <c r="C6" s="6"/>
      <c r="D6" s="6"/>
      <c r="E6" s="88" t="s">
        <v>115</v>
      </c>
      <c r="F6" s="249" t="s">
        <v>226</v>
      </c>
      <c r="G6" s="250"/>
      <c r="H6" s="250"/>
      <c r="I6" s="250"/>
      <c r="J6" s="250"/>
      <c r="K6" s="250"/>
      <c r="L6" s="250"/>
      <c r="M6" s="251"/>
      <c r="N6" s="9"/>
      <c r="O6" s="9"/>
      <c r="P6" s="8"/>
      <c r="Q6" s="1"/>
    </row>
    <row r="7" spans="1:17" ht="17.25" thickBot="1" x14ac:dyDescent="0.35">
      <c r="A7" s="1"/>
      <c r="B7" s="5"/>
      <c r="C7" s="6"/>
      <c r="D7" s="6"/>
      <c r="E7" s="10"/>
      <c r="F7" s="9"/>
      <c r="G7" s="9"/>
      <c r="H7" s="9"/>
      <c r="I7" s="9"/>
      <c r="J7" s="9"/>
      <c r="K7" s="9"/>
      <c r="L7" s="9"/>
      <c r="M7" s="6"/>
      <c r="N7" s="6"/>
      <c r="O7" s="6"/>
      <c r="P7" s="8"/>
      <c r="Q7" s="1"/>
    </row>
    <row r="8" spans="1:17" ht="97.5" customHeight="1" thickBot="1" x14ac:dyDescent="0.3">
      <c r="A8" s="1"/>
      <c r="B8" s="5"/>
      <c r="C8" s="6"/>
      <c r="D8" s="6"/>
      <c r="E8" s="6"/>
      <c r="F8" s="6"/>
      <c r="G8" s="6"/>
      <c r="H8" s="6"/>
      <c r="I8" s="252" t="s">
        <v>116</v>
      </c>
      <c r="J8" s="253"/>
      <c r="K8" s="254"/>
      <c r="L8" s="6"/>
      <c r="M8" s="114">
        <f>+AVERAGE(G26,G28,G30,G32,G34)</f>
        <v>0.60190476190476194</v>
      </c>
      <c r="N8" s="11"/>
      <c r="O8" s="11"/>
      <c r="P8" s="8"/>
      <c r="Q8" s="1"/>
    </row>
    <row r="9" spans="1:17" ht="15.75" x14ac:dyDescent="0.25">
      <c r="A9" s="1"/>
      <c r="B9" s="5"/>
      <c r="C9" s="6"/>
      <c r="D9" s="6"/>
      <c r="E9" s="6"/>
      <c r="F9" s="6"/>
      <c r="G9" s="6"/>
      <c r="H9" s="6"/>
      <c r="I9" s="6"/>
      <c r="J9" s="6"/>
      <c r="K9" s="6"/>
      <c r="L9" s="6"/>
      <c r="M9" s="12"/>
      <c r="N9" s="12"/>
      <c r="O9" s="12"/>
      <c r="P9" s="8"/>
      <c r="Q9" s="1"/>
    </row>
    <row r="10" spans="1:17" x14ac:dyDescent="0.25">
      <c r="A10" s="1"/>
      <c r="B10" s="5"/>
      <c r="C10" s="6"/>
      <c r="D10" s="6"/>
      <c r="E10" s="6"/>
      <c r="F10" s="6"/>
      <c r="G10" s="6"/>
      <c r="H10" s="6"/>
      <c r="I10" s="6"/>
      <c r="J10" s="6"/>
      <c r="K10" s="6"/>
      <c r="L10" s="6"/>
      <c r="M10" s="6"/>
      <c r="N10" s="6"/>
      <c r="O10" s="6"/>
      <c r="P10" s="8"/>
      <c r="Q10" s="1"/>
    </row>
    <row r="11" spans="1:17" x14ac:dyDescent="0.25">
      <c r="A11" s="1"/>
      <c r="B11" s="5"/>
      <c r="C11" s="6"/>
      <c r="D11" s="6"/>
      <c r="E11" s="6"/>
      <c r="F11" s="6"/>
      <c r="G11" s="6"/>
      <c r="H11" s="6"/>
      <c r="I11" s="6"/>
      <c r="J11" s="6"/>
      <c r="K11" s="6"/>
      <c r="L11" s="6"/>
      <c r="M11" s="6"/>
      <c r="N11" s="6"/>
      <c r="O11" s="6"/>
      <c r="P11" s="8"/>
      <c r="Q11" s="1"/>
    </row>
    <row r="12" spans="1:17" x14ac:dyDescent="0.25">
      <c r="A12" s="1"/>
      <c r="B12" s="5"/>
      <c r="C12" s="6"/>
      <c r="D12" s="6"/>
      <c r="E12" s="6"/>
      <c r="F12" s="6"/>
      <c r="G12" s="6"/>
      <c r="H12" s="6"/>
      <c r="I12" s="6"/>
      <c r="J12" s="6"/>
      <c r="K12" s="6"/>
      <c r="L12" s="6"/>
      <c r="M12" s="6"/>
      <c r="N12" s="6"/>
      <c r="O12" s="6"/>
      <c r="P12" s="8"/>
      <c r="Q12" s="1"/>
    </row>
    <row r="13" spans="1:17" x14ac:dyDescent="0.25">
      <c r="A13" s="1"/>
      <c r="B13" s="5"/>
      <c r="C13" s="6"/>
      <c r="D13" s="6"/>
      <c r="E13" s="6"/>
      <c r="F13" s="6"/>
      <c r="G13" s="6"/>
      <c r="H13" s="6"/>
      <c r="I13" s="6"/>
      <c r="J13" s="6"/>
      <c r="K13" s="6"/>
      <c r="L13" s="6"/>
      <c r="M13" s="6"/>
      <c r="N13" s="6"/>
      <c r="O13" s="6"/>
      <c r="P13" s="8"/>
      <c r="Q13" s="1"/>
    </row>
    <row r="14" spans="1:17" x14ac:dyDescent="0.25">
      <c r="A14" s="1"/>
      <c r="B14" s="5"/>
      <c r="C14" s="6"/>
      <c r="D14" s="6"/>
      <c r="E14" s="6"/>
      <c r="F14" s="6"/>
      <c r="G14" s="6"/>
      <c r="H14" s="6"/>
      <c r="I14" s="6"/>
      <c r="J14" s="6"/>
      <c r="K14" s="6"/>
      <c r="L14" s="6"/>
      <c r="M14" s="6"/>
      <c r="N14" s="6"/>
      <c r="O14" s="6"/>
      <c r="P14" s="8"/>
      <c r="Q14" s="1"/>
    </row>
    <row r="15" spans="1:17" x14ac:dyDescent="0.25">
      <c r="A15" s="1"/>
      <c r="B15" s="5"/>
      <c r="C15" s="6"/>
      <c r="D15" s="6"/>
      <c r="E15" s="6"/>
      <c r="F15" s="6"/>
      <c r="G15" s="6"/>
      <c r="H15" s="6"/>
      <c r="I15" s="6"/>
      <c r="J15" s="6"/>
      <c r="K15" s="6"/>
      <c r="L15" s="6"/>
      <c r="M15" s="6"/>
      <c r="N15" s="6"/>
      <c r="O15" s="6"/>
      <c r="P15" s="8"/>
      <c r="Q15" s="1"/>
    </row>
    <row r="16" spans="1:17" x14ac:dyDescent="0.25">
      <c r="A16" s="1"/>
      <c r="B16" s="5"/>
      <c r="C16" s="6"/>
      <c r="D16" s="6"/>
      <c r="E16" s="6"/>
      <c r="F16" s="6"/>
      <c r="G16" s="6"/>
      <c r="H16" s="6"/>
      <c r="I16" s="6"/>
      <c r="J16" s="6"/>
      <c r="K16" s="6"/>
      <c r="L16" s="6"/>
      <c r="M16" s="6"/>
      <c r="N16" s="6"/>
      <c r="O16" s="6"/>
      <c r="P16" s="8"/>
      <c r="Q16" s="1"/>
    </row>
    <row r="17" spans="1:17" x14ac:dyDescent="0.25">
      <c r="A17" s="1"/>
      <c r="B17" s="5"/>
      <c r="C17" s="6"/>
      <c r="D17" s="6"/>
      <c r="E17" s="6"/>
      <c r="F17" s="6"/>
      <c r="G17" s="6"/>
      <c r="H17" s="6"/>
      <c r="I17" s="6"/>
      <c r="J17" s="6"/>
      <c r="K17" s="6"/>
      <c r="L17" s="6"/>
      <c r="M17" s="6"/>
      <c r="N17" s="6"/>
      <c r="O17" s="6"/>
      <c r="P17" s="8"/>
      <c r="Q17" s="1"/>
    </row>
    <row r="18" spans="1:17" ht="23.25" x14ac:dyDescent="0.25">
      <c r="A18" s="1"/>
      <c r="B18" s="5"/>
      <c r="C18" s="255" t="s">
        <v>117</v>
      </c>
      <c r="D18" s="256"/>
      <c r="E18" s="256"/>
      <c r="F18" s="256"/>
      <c r="G18" s="256"/>
      <c r="H18" s="256"/>
      <c r="I18" s="256"/>
      <c r="J18" s="256"/>
      <c r="K18" s="256"/>
      <c r="L18" s="256"/>
      <c r="M18" s="257"/>
      <c r="N18" s="13"/>
      <c r="O18" s="13"/>
      <c r="P18" s="8"/>
      <c r="Q18" s="1"/>
    </row>
    <row r="19" spans="1:17" ht="16.5" thickBot="1" x14ac:dyDescent="0.3">
      <c r="A19" s="1"/>
      <c r="B19" s="5"/>
      <c r="C19" s="14"/>
      <c r="D19" s="14"/>
      <c r="E19" s="14"/>
      <c r="F19" s="14"/>
      <c r="G19" s="14"/>
      <c r="H19" s="14"/>
      <c r="I19" s="14"/>
      <c r="J19" s="14"/>
      <c r="K19" s="14"/>
      <c r="L19" s="14"/>
      <c r="M19" s="14"/>
      <c r="N19" s="15"/>
      <c r="O19" s="15"/>
      <c r="P19" s="8"/>
      <c r="Q19" s="1"/>
    </row>
    <row r="20" spans="1:17" ht="150" customHeight="1" x14ac:dyDescent="0.25">
      <c r="A20" s="1"/>
      <c r="B20" s="5"/>
      <c r="C20" s="258" t="s">
        <v>118</v>
      </c>
      <c r="D20" s="259"/>
      <c r="E20" s="117" t="s">
        <v>76</v>
      </c>
      <c r="F20" s="260" t="s">
        <v>229</v>
      </c>
      <c r="G20" s="260"/>
      <c r="H20" s="260"/>
      <c r="I20" s="260"/>
      <c r="J20" s="260"/>
      <c r="K20" s="260"/>
      <c r="L20" s="260"/>
      <c r="M20" s="261"/>
      <c r="N20" s="15"/>
      <c r="O20" s="15"/>
      <c r="P20" s="8"/>
      <c r="Q20" s="1"/>
    </row>
    <row r="21" spans="1:17" ht="126.75" customHeight="1" x14ac:dyDescent="0.25">
      <c r="A21" s="1"/>
      <c r="B21" s="5"/>
      <c r="C21" s="242" t="s">
        <v>119</v>
      </c>
      <c r="D21" s="243"/>
      <c r="E21" s="118" t="s">
        <v>36</v>
      </c>
      <c r="F21" s="262" t="s">
        <v>215</v>
      </c>
      <c r="G21" s="262"/>
      <c r="H21" s="262"/>
      <c r="I21" s="262"/>
      <c r="J21" s="262"/>
      <c r="K21" s="262"/>
      <c r="L21" s="262"/>
      <c r="M21" s="263"/>
      <c r="N21" s="15"/>
      <c r="O21" s="15"/>
      <c r="P21" s="8"/>
      <c r="Q21" s="1"/>
    </row>
    <row r="22" spans="1:17" ht="151.5" customHeight="1" thickBot="1" x14ac:dyDescent="0.3">
      <c r="A22" s="1"/>
      <c r="B22" s="5"/>
      <c r="C22" s="244" t="s">
        <v>120</v>
      </c>
      <c r="D22" s="245"/>
      <c r="E22" s="119" t="s">
        <v>36</v>
      </c>
      <c r="F22" s="264" t="s">
        <v>214</v>
      </c>
      <c r="G22" s="264"/>
      <c r="H22" s="264"/>
      <c r="I22" s="264"/>
      <c r="J22" s="264"/>
      <c r="K22" s="264"/>
      <c r="L22" s="264"/>
      <c r="M22" s="265"/>
      <c r="N22" s="15"/>
      <c r="O22" s="15"/>
      <c r="P22" s="8"/>
      <c r="Q22" s="1"/>
    </row>
    <row r="23" spans="1:17" ht="18" x14ac:dyDescent="0.25">
      <c r="A23" s="1"/>
      <c r="B23" s="5"/>
      <c r="C23" s="6"/>
      <c r="D23" s="6"/>
      <c r="E23" s="6"/>
      <c r="F23" s="129"/>
      <c r="G23" s="16"/>
      <c r="H23" s="6"/>
      <c r="I23" s="6"/>
      <c r="J23" s="6"/>
      <c r="K23" s="6"/>
      <c r="L23" s="6"/>
      <c r="M23" s="6"/>
      <c r="N23" s="6"/>
      <c r="O23" s="6"/>
      <c r="P23" s="8"/>
      <c r="Q23" s="1"/>
    </row>
    <row r="24" spans="1:17" ht="78.75" x14ac:dyDescent="0.25">
      <c r="A24" s="1"/>
      <c r="B24" s="5"/>
      <c r="C24" s="91" t="s">
        <v>121</v>
      </c>
      <c r="D24" s="92"/>
      <c r="E24" s="91" t="s">
        <v>122</v>
      </c>
      <c r="F24" s="92"/>
      <c r="G24" s="91" t="s">
        <v>123</v>
      </c>
      <c r="H24" s="92"/>
      <c r="I24" s="233" t="s">
        <v>124</v>
      </c>
      <c r="J24" s="233"/>
      <c r="K24" s="233"/>
      <c r="L24" s="233"/>
      <c r="M24" s="233"/>
      <c r="N24" s="33"/>
      <c r="O24" s="33"/>
      <c r="P24" s="8"/>
      <c r="Q24" s="17"/>
    </row>
    <row r="25" spans="1:17" ht="13.5" customHeight="1" thickBot="1" x14ac:dyDescent="0.3">
      <c r="A25" s="1"/>
      <c r="B25" s="5"/>
      <c r="C25" s="32"/>
      <c r="D25" s="18"/>
      <c r="E25" s="18"/>
      <c r="F25" s="18"/>
      <c r="G25" s="18"/>
      <c r="H25" s="18"/>
      <c r="I25" s="240"/>
      <c r="J25" s="240"/>
      <c r="K25" s="240"/>
      <c r="L25" s="240"/>
      <c r="M25" s="240"/>
      <c r="N25" s="34"/>
      <c r="O25" s="34"/>
      <c r="P25" s="8"/>
      <c r="Q25" s="1"/>
    </row>
    <row r="26" spans="1:17" ht="155.25" customHeight="1" thickBot="1" x14ac:dyDescent="0.3">
      <c r="A26" s="1"/>
      <c r="B26" s="5"/>
      <c r="C26" s="82" t="s">
        <v>32</v>
      </c>
      <c r="D26" s="19"/>
      <c r="E26" s="115" t="str">
        <f>+IF(Hoja1!K2&gt;=0.5,"Si","No")</f>
        <v>Si</v>
      </c>
      <c r="F26" s="20"/>
      <c r="G26" s="116">
        <f>+Hoja1!K2</f>
        <v>0.66666666666666663</v>
      </c>
      <c r="H26" s="20"/>
      <c r="I26" s="234" t="s">
        <v>230</v>
      </c>
      <c r="J26" s="235"/>
      <c r="K26" s="235"/>
      <c r="L26" s="235"/>
      <c r="M26" s="236"/>
      <c r="N26" s="35"/>
      <c r="O26" s="36"/>
      <c r="P26" s="21"/>
      <c r="Q26" s="22"/>
    </row>
    <row r="27" spans="1:17" ht="27" thickBot="1" x14ac:dyDescent="0.45">
      <c r="A27" s="1"/>
      <c r="B27" s="5"/>
      <c r="C27" s="83"/>
      <c r="D27" s="23"/>
      <c r="E27" s="90"/>
      <c r="F27" s="18"/>
      <c r="G27" s="24"/>
      <c r="H27" s="18"/>
      <c r="I27" s="241"/>
      <c r="J27" s="241"/>
      <c r="K27" s="241"/>
      <c r="L27" s="241"/>
      <c r="M27" s="241"/>
      <c r="N27" s="37"/>
      <c r="O27" s="37"/>
      <c r="P27" s="8"/>
      <c r="Q27" s="1"/>
    </row>
    <row r="28" spans="1:17" ht="111.75" customHeight="1" thickBot="1" x14ac:dyDescent="0.3">
      <c r="A28" s="1"/>
      <c r="B28" s="5"/>
      <c r="C28" s="84" t="s">
        <v>125</v>
      </c>
      <c r="D28" s="19"/>
      <c r="E28" s="115" t="str">
        <f>+IF(Hoja1!K14&gt;=0.5,"Si","No")</f>
        <v>Si</v>
      </c>
      <c r="F28" s="18"/>
      <c r="G28" s="116">
        <f>+Hoja1!K14</f>
        <v>0.5</v>
      </c>
      <c r="H28" s="18"/>
      <c r="I28" s="237" t="s">
        <v>217</v>
      </c>
      <c r="J28" s="238"/>
      <c r="K28" s="238"/>
      <c r="L28" s="238"/>
      <c r="M28" s="239"/>
      <c r="N28" s="35"/>
      <c r="O28" s="35"/>
      <c r="P28" s="8"/>
      <c r="Q28" s="1"/>
    </row>
    <row r="29" spans="1:17" ht="27" thickBot="1" x14ac:dyDescent="0.45">
      <c r="A29" s="1"/>
      <c r="B29" s="5"/>
      <c r="C29" s="83"/>
      <c r="D29" s="23"/>
      <c r="E29" s="90"/>
      <c r="F29" s="18"/>
      <c r="G29" s="24"/>
      <c r="H29" s="18"/>
      <c r="I29" s="241"/>
      <c r="J29" s="241"/>
      <c r="K29" s="241"/>
      <c r="L29" s="241"/>
      <c r="M29" s="241"/>
      <c r="N29" s="37"/>
      <c r="O29" s="37"/>
      <c r="P29" s="8"/>
      <c r="Q29" s="1"/>
    </row>
    <row r="30" spans="1:17" ht="123" customHeight="1" thickBot="1" x14ac:dyDescent="0.3">
      <c r="A30" s="1"/>
      <c r="B30" s="5"/>
      <c r="C30" s="85" t="s">
        <v>126</v>
      </c>
      <c r="D30" s="19"/>
      <c r="E30" s="115" t="str">
        <f>+IF(Hoja1!K24&gt;=0.5,"Si","No")</f>
        <v>Si</v>
      </c>
      <c r="F30" s="18"/>
      <c r="G30" s="116">
        <f>+Hoja1!K24</f>
        <v>0.6</v>
      </c>
      <c r="H30" s="18"/>
      <c r="I30" s="230" t="s">
        <v>218</v>
      </c>
      <c r="J30" s="231"/>
      <c r="K30" s="231"/>
      <c r="L30" s="231"/>
      <c r="M30" s="232"/>
      <c r="N30" s="35"/>
      <c r="O30" s="35"/>
      <c r="P30" s="8"/>
      <c r="Q30" s="1"/>
    </row>
    <row r="31" spans="1:17" ht="27" thickBot="1" x14ac:dyDescent="0.45">
      <c r="A31" s="1"/>
      <c r="B31" s="5"/>
      <c r="C31" s="83"/>
      <c r="D31" s="23"/>
      <c r="E31" s="90"/>
      <c r="F31" s="18"/>
      <c r="G31" s="24"/>
      <c r="H31" s="18"/>
      <c r="I31" s="241"/>
      <c r="J31" s="241"/>
      <c r="K31" s="241"/>
      <c r="L31" s="241"/>
      <c r="M31" s="241"/>
      <c r="N31" s="37"/>
      <c r="O31" s="37"/>
      <c r="P31" s="8"/>
      <c r="Q31" s="1"/>
    </row>
    <row r="32" spans="1:17" ht="171" customHeight="1" thickBot="1" x14ac:dyDescent="0.3">
      <c r="A32" s="1"/>
      <c r="B32" s="5"/>
      <c r="C32" s="86" t="s">
        <v>87</v>
      </c>
      <c r="D32" s="19"/>
      <c r="E32" s="115" t="str">
        <f>+IF(Hoja1!K29&gt;=0.5,"Si","No")</f>
        <v>Si</v>
      </c>
      <c r="F32" s="18"/>
      <c r="G32" s="116">
        <f>+Hoja1!K29</f>
        <v>0.6428571428571429</v>
      </c>
      <c r="H32" s="18"/>
      <c r="I32" s="230" t="s">
        <v>219</v>
      </c>
      <c r="J32" s="231"/>
      <c r="K32" s="231"/>
      <c r="L32" s="231"/>
      <c r="M32" s="232"/>
      <c r="N32" s="35"/>
      <c r="O32" s="35"/>
      <c r="P32" s="8"/>
      <c r="Q32" s="1"/>
    </row>
    <row r="33" spans="1:17" ht="27" thickBot="1" x14ac:dyDescent="0.45">
      <c r="A33" s="1"/>
      <c r="B33" s="5"/>
      <c r="C33" s="83"/>
      <c r="D33" s="23"/>
      <c r="E33" s="90"/>
      <c r="F33" s="18"/>
      <c r="G33" s="24"/>
      <c r="H33" s="18"/>
      <c r="I33" s="241"/>
      <c r="J33" s="241"/>
      <c r="K33" s="241"/>
      <c r="L33" s="241"/>
      <c r="M33" s="241"/>
      <c r="N33" s="37"/>
      <c r="O33" s="37"/>
      <c r="P33" s="8"/>
      <c r="Q33" s="1"/>
    </row>
    <row r="34" spans="1:17" ht="164.25" customHeight="1" thickBot="1" x14ac:dyDescent="0.3">
      <c r="A34" s="1"/>
      <c r="B34" s="5"/>
      <c r="C34" s="87" t="s">
        <v>127</v>
      </c>
      <c r="D34" s="19"/>
      <c r="E34" s="89" t="str">
        <f>+IF(Hoja1!K36&gt;=0.5,"Si","No")</f>
        <v>Si</v>
      </c>
      <c r="F34" s="18"/>
      <c r="G34" s="116">
        <f>+Hoja1!K36</f>
        <v>0.6</v>
      </c>
      <c r="H34" s="18"/>
      <c r="I34" s="230" t="s">
        <v>221</v>
      </c>
      <c r="J34" s="231"/>
      <c r="K34" s="231"/>
      <c r="L34" s="231"/>
      <c r="M34" s="232"/>
      <c r="N34" s="35"/>
      <c r="O34" s="35"/>
      <c r="P34" s="8"/>
      <c r="Q34" s="1"/>
    </row>
    <row r="35" spans="1:17" ht="15.75" x14ac:dyDescent="0.25">
      <c r="A35" s="1"/>
      <c r="B35" s="5"/>
      <c r="C35" s="25"/>
      <c r="D35" s="25"/>
      <c r="E35" s="15"/>
      <c r="F35" s="6"/>
      <c r="G35" s="6"/>
      <c r="H35" s="6"/>
      <c r="I35" s="6"/>
      <c r="J35" s="6"/>
      <c r="K35" s="6"/>
      <c r="L35" s="6"/>
      <c r="M35" s="26"/>
      <c r="N35" s="26"/>
      <c r="O35" s="26"/>
      <c r="P35" s="8"/>
      <c r="Q35" s="1"/>
    </row>
    <row r="36" spans="1:17" ht="15.75" x14ac:dyDescent="0.25">
      <c r="A36" s="1"/>
      <c r="B36" s="5"/>
      <c r="C36" s="27"/>
      <c r="D36" s="25"/>
      <c r="E36" s="15"/>
      <c r="F36" s="6"/>
      <c r="G36" s="6"/>
      <c r="H36" s="6"/>
      <c r="I36" s="6"/>
      <c r="J36" s="6"/>
      <c r="K36" s="6"/>
      <c r="L36" s="6"/>
      <c r="M36" s="26"/>
      <c r="N36" s="26"/>
      <c r="O36" s="26"/>
      <c r="P36" s="8"/>
      <c r="Q36" s="1"/>
    </row>
    <row r="37" spans="1:17" x14ac:dyDescent="0.25">
      <c r="A37" s="1"/>
      <c r="B37" s="5"/>
      <c r="C37" s="28"/>
      <c r="D37" s="6"/>
      <c r="E37" s="6"/>
      <c r="F37" s="6"/>
      <c r="G37" s="6"/>
      <c r="H37" s="6"/>
      <c r="I37" s="6"/>
      <c r="J37" s="6"/>
      <c r="K37" s="6"/>
      <c r="L37" s="6"/>
      <c r="M37" s="6"/>
      <c r="N37" s="6"/>
      <c r="O37" s="6"/>
      <c r="P37" s="8"/>
      <c r="Q37" s="1"/>
    </row>
    <row r="38" spans="1:17" ht="15.75" thickBot="1" x14ac:dyDescent="0.3">
      <c r="A38" s="1"/>
      <c r="B38" s="29"/>
      <c r="C38" s="30"/>
      <c r="D38" s="30"/>
      <c r="E38" s="30"/>
      <c r="F38" s="30"/>
      <c r="G38" s="30"/>
      <c r="H38" s="30"/>
      <c r="I38" s="30"/>
      <c r="J38" s="30"/>
      <c r="K38" s="30"/>
      <c r="L38" s="30"/>
      <c r="M38" s="30"/>
      <c r="N38" s="30"/>
      <c r="O38" s="30"/>
      <c r="P38" s="31"/>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sheet="1" objects="1" scenarios="1" formatCells="0" formatRows="0"/>
  <mergeCells count="22">
    <mergeCell ref="C21:D21"/>
    <mergeCell ref="C22:D22"/>
    <mergeCell ref="E4:E5"/>
    <mergeCell ref="F4:M5"/>
    <mergeCell ref="F6:M6"/>
    <mergeCell ref="I8:K8"/>
    <mergeCell ref="C18:M18"/>
    <mergeCell ref="C20:D20"/>
    <mergeCell ref="F20:M20"/>
    <mergeCell ref="F21:M21"/>
    <mergeCell ref="F22:M22"/>
    <mergeCell ref="I34:M34"/>
    <mergeCell ref="I30:M30"/>
    <mergeCell ref="I32:M32"/>
    <mergeCell ref="I24:M24"/>
    <mergeCell ref="I26:M26"/>
    <mergeCell ref="I28:M28"/>
    <mergeCell ref="I25:M25"/>
    <mergeCell ref="I27:M27"/>
    <mergeCell ref="I29:M29"/>
    <mergeCell ref="I31:M31"/>
    <mergeCell ref="I33:M33"/>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6" priority="1" operator="between">
      <formula>0.75</formula>
      <formula>1</formula>
    </cfRule>
    <cfRule type="cellIs" dxfId="5" priority="2" operator="between">
      <formula>0.5</formula>
      <formula>0.75</formula>
    </cfRule>
    <cfRule type="cellIs" dxfId="4" priority="3" operator="between">
      <formula>0</formula>
      <formula>0.49</formula>
    </cfRule>
    <cfRule type="cellIs" priority="27" operator="between">
      <formula>0.76</formula>
      <formula>1</formula>
    </cfRule>
    <cfRule type="cellIs" dxfId="3" priority="28" operator="between">
      <formula>0.51</formula>
      <formula>0.75</formula>
    </cfRule>
    <cfRule type="cellIs" dxfId="2" priority="29" operator="between">
      <formula>0.26</formula>
      <formula>0.5</formula>
    </cfRule>
    <cfRule type="cellIs" dxfId="1" priority="30" operator="between">
      <formula>0</formula>
      <formula>0.25</formula>
    </cfRule>
  </conditionalFormatting>
  <dataValidations count="3">
    <dataValidation type="list" allowBlank="1" showInputMessage="1" showErrorMessage="1" sqref="E21:E22">
      <formula1>"Si, No"</formula1>
    </dataValidation>
    <dataValidation allowBlank="1" showInputMessage="1" showErrorMessage="1" prompt="Celda formulada, información proveniente de la pestaña de deficiencias." sqref="E24"/>
    <dataValidation type="list" allowBlank="1" showInputMessage="1" showErrorMessage="1" sqref="E2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20" t="s">
        <v>25</v>
      </c>
      <c r="B1" s="120" t="s">
        <v>6</v>
      </c>
      <c r="C1" s="121" t="s">
        <v>8</v>
      </c>
      <c r="D1" s="122" t="s">
        <v>26</v>
      </c>
      <c r="E1" s="122" t="s">
        <v>27</v>
      </c>
      <c r="F1" s="122" t="s">
        <v>128</v>
      </c>
      <c r="G1" s="123" t="s">
        <v>129</v>
      </c>
      <c r="H1" s="123" t="s">
        <v>130</v>
      </c>
      <c r="I1" s="123" t="s">
        <v>113</v>
      </c>
      <c r="J1" s="123" t="s">
        <v>131</v>
      </c>
      <c r="K1" s="123" t="s">
        <v>132</v>
      </c>
    </row>
    <row r="2" spans="1:11" x14ac:dyDescent="0.25">
      <c r="A2" s="124" t="s">
        <v>133</v>
      </c>
      <c r="B2" s="124" t="str">
        <f>+VLOOKUP(A2,'Estado SCI'!$A$16:$C$59,3,0)</f>
        <v>AMBIENTE DE CONTROL</v>
      </c>
      <c r="C2" s="124" t="s">
        <v>33</v>
      </c>
      <c r="D2" s="124" t="s">
        <v>34</v>
      </c>
      <c r="E2" s="124" t="s">
        <v>35</v>
      </c>
      <c r="F2" s="124" t="str">
        <f>+VLOOKUP(A2,'Estado SCI'!$A$16:$I$59,9,0)</f>
        <v>Oportunidad de mejora</v>
      </c>
      <c r="G2" s="124">
        <f>+VLOOKUP(A2,'Estado SCI'!$A$16:$L$59,12,0)</f>
        <v>10.122999999999999</v>
      </c>
      <c r="H2" s="124">
        <f t="shared" ref="H2:H45" si="0">+_xlfn.RANK.EQ(G2,$G$2:$G$45,1)</f>
        <v>1</v>
      </c>
      <c r="I2" s="124" t="str">
        <f>+IF(VLOOKUP(A2,'Estado SCI'!$A$16:$G$59,7,0)="","",VLOOKUP(A2,'Estado SCI'!$A$16:$G$59,7,0))</f>
        <v>En proceso</v>
      </c>
      <c r="J2" s="125">
        <f>+IF(I2="Si",1,IF(I2="En proceso",0.5,0))</f>
        <v>0.5</v>
      </c>
      <c r="K2" s="126">
        <f t="shared" ref="K2:K45" si="1">+AVERAGEIF($B$2:$B$45,B2,$J$2:$J$45)</f>
        <v>0.66666666666666663</v>
      </c>
    </row>
    <row r="3" spans="1:11" x14ac:dyDescent="0.25">
      <c r="A3" s="124" t="s">
        <v>134</v>
      </c>
      <c r="B3" s="124" t="s">
        <v>32</v>
      </c>
      <c r="C3" s="124" t="s">
        <v>33</v>
      </c>
      <c r="D3" s="124" t="s">
        <v>37</v>
      </c>
      <c r="E3" s="124" t="s">
        <v>38</v>
      </c>
      <c r="F3" s="124" t="str">
        <f>+VLOOKUP(A3,'Estado SCI'!$A$16:$I$59,9,0)</f>
        <v>Oportunidad de mejora</v>
      </c>
      <c r="G3" s="124">
        <f>+VLOOKUP(A3,'Estado SCI'!$A$16:$L$59,12,0)</f>
        <v>10.1234</v>
      </c>
      <c r="H3" s="124">
        <f t="shared" si="0"/>
        <v>2</v>
      </c>
      <c r="I3" s="124" t="str">
        <f>+IF(VLOOKUP(A3,'Estado SCI'!$A$16:$G$59,7,0)="","",VLOOKUP(A3,'Estado SCI'!$A$16:$G$59,7,0))</f>
        <v>En proceso</v>
      </c>
      <c r="J3" s="125">
        <f t="shared" ref="J3:J45" si="2">+IF(I3="Si",1,IF(I3="En proceso",0.5,0))</f>
        <v>0.5</v>
      </c>
      <c r="K3" s="126">
        <f t="shared" si="1"/>
        <v>0.66666666666666663</v>
      </c>
    </row>
    <row r="4" spans="1:11" x14ac:dyDescent="0.25">
      <c r="A4" s="124" t="s">
        <v>135</v>
      </c>
      <c r="B4" s="124" t="s">
        <v>32</v>
      </c>
      <c r="C4" s="124" t="s">
        <v>33</v>
      </c>
      <c r="D4" s="124" t="s">
        <v>40</v>
      </c>
      <c r="E4" s="124" t="s">
        <v>41</v>
      </c>
      <c r="F4" s="124" t="str">
        <f>+VLOOKUP(A4,'Estado SCI'!$A$16:$I$59,9,0)</f>
        <v>Oportunidad de mejora</v>
      </c>
      <c r="G4" s="124">
        <f>+VLOOKUP(A4,'Estado SCI'!$A$16:$L$59,12,0)</f>
        <v>10.12345</v>
      </c>
      <c r="H4" s="124">
        <f t="shared" si="0"/>
        <v>3</v>
      </c>
      <c r="I4" s="124" t="str">
        <f>+IF(VLOOKUP(A4,'Estado SCI'!$A$16:$G$59,7,0)="","",VLOOKUP(A4,'Estado SCI'!$A$16:$G$59,7,0))</f>
        <v>En proceso</v>
      </c>
      <c r="J4" s="125">
        <f t="shared" si="2"/>
        <v>0.5</v>
      </c>
      <c r="K4" s="126">
        <f t="shared" si="1"/>
        <v>0.66666666666666663</v>
      </c>
    </row>
    <row r="5" spans="1:11" x14ac:dyDescent="0.25">
      <c r="A5" s="124" t="s">
        <v>136</v>
      </c>
      <c r="B5" s="124" t="s">
        <v>32</v>
      </c>
      <c r="C5" s="124" t="s">
        <v>33</v>
      </c>
      <c r="D5" s="124" t="s">
        <v>42</v>
      </c>
      <c r="E5" s="124" t="s">
        <v>43</v>
      </c>
      <c r="F5" s="124" t="str">
        <f>+VLOOKUP(A5,'Estado SCI'!$A$16:$I$59,9,0)</f>
        <v>Mantenimiento del control</v>
      </c>
      <c r="G5" s="124">
        <f>+VLOOKUP(A5,'Estado SCI'!$A$16:$L$59,12,0)</f>
        <v>20.123456000000001</v>
      </c>
      <c r="H5" s="124">
        <f t="shared" si="0"/>
        <v>9</v>
      </c>
      <c r="I5" s="124" t="str">
        <f>+IF(VLOOKUP(A5,'Estado SCI'!$A$16:$G$59,7,0)="","",VLOOKUP(A5,'Estado SCI'!$A$16:$G$59,7,0))</f>
        <v>Si</v>
      </c>
      <c r="J5" s="125">
        <f t="shared" si="2"/>
        <v>1</v>
      </c>
      <c r="K5" s="126">
        <f t="shared" si="1"/>
        <v>0.66666666666666663</v>
      </c>
    </row>
    <row r="6" spans="1:11" x14ac:dyDescent="0.25">
      <c r="A6" s="124" t="s">
        <v>137</v>
      </c>
      <c r="B6" s="124" t="s">
        <v>32</v>
      </c>
      <c r="C6" s="124" t="s">
        <v>33</v>
      </c>
      <c r="D6" s="124" t="s">
        <v>44</v>
      </c>
      <c r="E6" s="124" t="s">
        <v>45</v>
      </c>
      <c r="F6" s="124" t="str">
        <f>+VLOOKUP(A6,'Estado SCI'!$A$16:$I$59,9,0)</f>
        <v>Mantenimiento del control</v>
      </c>
      <c r="G6" s="124">
        <f>+VLOOKUP(A6,'Estado SCI'!$A$16:$L$59,12,0)</f>
        <v>20.123456780000001</v>
      </c>
      <c r="H6" s="124">
        <f t="shared" si="0"/>
        <v>10</v>
      </c>
      <c r="I6" s="124" t="str">
        <f>+IF(VLOOKUP(A6,'Estado SCI'!$A$16:$G$59,7,0)="","",VLOOKUP(A6,'Estado SCI'!$A$16:$G$59,7,0))</f>
        <v>Si</v>
      </c>
      <c r="J6" s="125">
        <f t="shared" si="2"/>
        <v>1</v>
      </c>
      <c r="K6" s="126">
        <f t="shared" si="1"/>
        <v>0.66666666666666663</v>
      </c>
    </row>
    <row r="7" spans="1:11" x14ac:dyDescent="0.25">
      <c r="A7" s="124" t="s">
        <v>138</v>
      </c>
      <c r="B7" s="124" t="s">
        <v>32</v>
      </c>
      <c r="C7" s="124" t="s">
        <v>33</v>
      </c>
      <c r="D7" s="124" t="s">
        <v>46</v>
      </c>
      <c r="E7" s="124" t="s">
        <v>47</v>
      </c>
      <c r="F7" s="124" t="str">
        <f>+VLOOKUP(A7,'Estado SCI'!$A$16:$I$59,9,0)</f>
        <v>Oportunidad de mejora</v>
      </c>
      <c r="G7" s="124">
        <f>+VLOOKUP(A7,'Estado SCI'!$A$16:$L$59,12,0)</f>
        <v>10.123456789</v>
      </c>
      <c r="H7" s="124">
        <f t="shared" si="0"/>
        <v>4</v>
      </c>
      <c r="I7" s="124" t="str">
        <f>+IF(VLOOKUP(A7,'Estado SCI'!$A$16:$G$59,7,0)="","",VLOOKUP(A7,'Estado SCI'!$A$16:$G$59,7,0))</f>
        <v>En proceso</v>
      </c>
      <c r="J7" s="125">
        <f t="shared" si="2"/>
        <v>0.5</v>
      </c>
      <c r="K7" s="126">
        <f t="shared" si="1"/>
        <v>0.66666666666666663</v>
      </c>
    </row>
    <row r="8" spans="1:11" x14ac:dyDescent="0.25">
      <c r="A8" s="124" t="s">
        <v>139</v>
      </c>
      <c r="B8" s="124" t="s">
        <v>32</v>
      </c>
      <c r="C8" s="124" t="s">
        <v>33</v>
      </c>
      <c r="D8" s="124" t="s">
        <v>48</v>
      </c>
      <c r="E8" s="124" t="s">
        <v>49</v>
      </c>
      <c r="F8" s="124" t="str">
        <f>+VLOOKUP(A8,'Estado SCI'!$A$16:$I$59,9,0)</f>
        <v>Oportunidad de mejora</v>
      </c>
      <c r="G8" s="124">
        <f>+VLOOKUP(A8,'Estado SCI'!$A$16:$L$59,12,0)</f>
        <v>10.1234567891</v>
      </c>
      <c r="H8" s="124">
        <f t="shared" si="0"/>
        <v>5</v>
      </c>
      <c r="I8" s="124" t="str">
        <f>+IF(VLOOKUP(A8,'Estado SCI'!$A$16:$G$59,7,0)="","",VLOOKUP(A8,'Estado SCI'!$A$16:$G$59,7,0))</f>
        <v>En proceso</v>
      </c>
      <c r="J8" s="125">
        <f t="shared" si="2"/>
        <v>0.5</v>
      </c>
      <c r="K8" s="126">
        <f t="shared" si="1"/>
        <v>0.66666666666666663</v>
      </c>
    </row>
    <row r="9" spans="1:11" x14ac:dyDescent="0.25">
      <c r="A9" s="124" t="s">
        <v>140</v>
      </c>
      <c r="B9" s="124" t="s">
        <v>32</v>
      </c>
      <c r="C9" s="124" t="s">
        <v>33</v>
      </c>
      <c r="D9" s="124" t="s">
        <v>50</v>
      </c>
      <c r="E9" s="124" t="s">
        <v>51</v>
      </c>
      <c r="F9" s="124" t="str">
        <f>+VLOOKUP(A9,'Estado SCI'!$A$16:$I$59,9,0)</f>
        <v>Oportunidad de mejora</v>
      </c>
      <c r="G9" s="124">
        <f>+VLOOKUP(A9,'Estado SCI'!$A$16:$L$59,12,0)</f>
        <v>10.12345678912</v>
      </c>
      <c r="H9" s="124">
        <f t="shared" si="0"/>
        <v>6</v>
      </c>
      <c r="I9" s="124" t="str">
        <f>+IF(VLOOKUP(A9,'Estado SCI'!$A$16:$G$59,7,0)="","",VLOOKUP(A9,'Estado SCI'!$A$16:$G$59,7,0))</f>
        <v>En proceso</v>
      </c>
      <c r="J9" s="125">
        <f t="shared" si="2"/>
        <v>0.5</v>
      </c>
      <c r="K9" s="126">
        <f t="shared" si="1"/>
        <v>0.66666666666666663</v>
      </c>
    </row>
    <row r="10" spans="1:11" x14ac:dyDescent="0.25">
      <c r="A10" s="124" t="s">
        <v>141</v>
      </c>
      <c r="B10" s="124" t="s">
        <v>32</v>
      </c>
      <c r="C10" s="124" t="s">
        <v>33</v>
      </c>
      <c r="D10" s="124" t="s">
        <v>52</v>
      </c>
      <c r="E10" s="124" t="s">
        <v>53</v>
      </c>
      <c r="F10" s="124" t="str">
        <f>+VLOOKUP(A10,'Estado SCI'!$A$16:$I$59,9,0)</f>
        <v>Oportunidad de mejora</v>
      </c>
      <c r="G10" s="124">
        <f>+VLOOKUP(A10,'Estado SCI'!$A$16:$L$59,12,0)</f>
        <v>10.123456789123001</v>
      </c>
      <c r="H10" s="124">
        <f t="shared" si="0"/>
        <v>7</v>
      </c>
      <c r="I10" s="124" t="str">
        <f>+IF(VLOOKUP(A10,'Estado SCI'!$A$16:$G$59,7,0)="","",VLOOKUP(A10,'Estado SCI'!$A$16:$G$59,7,0))</f>
        <v>En proceso</v>
      </c>
      <c r="J10" s="125">
        <f t="shared" si="2"/>
        <v>0.5</v>
      </c>
      <c r="K10" s="126">
        <f t="shared" si="1"/>
        <v>0.66666666666666663</v>
      </c>
    </row>
    <row r="11" spans="1:11" x14ac:dyDescent="0.25">
      <c r="A11" s="124" t="s">
        <v>142</v>
      </c>
      <c r="B11" s="124" t="s">
        <v>32</v>
      </c>
      <c r="C11" s="124" t="s">
        <v>33</v>
      </c>
      <c r="D11" s="124" t="s">
        <v>54</v>
      </c>
      <c r="E11" s="124" t="s">
        <v>55</v>
      </c>
      <c r="F11" s="124" t="str">
        <f>+VLOOKUP(A11,'Estado SCI'!$A$16:$I$59,9,0)</f>
        <v>Mantenimiento del control</v>
      </c>
      <c r="G11" s="124">
        <f>+VLOOKUP(A11,'Estado SCI'!$A$16:$L$59,12,0)</f>
        <v>20.123456789123399</v>
      </c>
      <c r="H11" s="124">
        <f t="shared" si="0"/>
        <v>11</v>
      </c>
      <c r="I11" s="124" t="str">
        <f>+IF(VLOOKUP(A11,'Estado SCI'!$A$16:$G$59,7,0)="","",VLOOKUP(A11,'Estado SCI'!$A$16:$G$59,7,0))</f>
        <v>Si</v>
      </c>
      <c r="J11" s="125">
        <f t="shared" si="2"/>
        <v>1</v>
      </c>
      <c r="K11" s="126">
        <f t="shared" si="1"/>
        <v>0.66666666666666663</v>
      </c>
    </row>
    <row r="12" spans="1:11" x14ac:dyDescent="0.25">
      <c r="A12" s="124" t="s">
        <v>143</v>
      </c>
      <c r="B12" s="124" t="s">
        <v>32</v>
      </c>
      <c r="C12" s="124" t="s">
        <v>33</v>
      </c>
      <c r="D12" s="124" t="s">
        <v>56</v>
      </c>
      <c r="E12" s="124" t="s">
        <v>57</v>
      </c>
      <c r="F12" s="124" t="str">
        <f>+VLOOKUP(A12,'Estado SCI'!$A$16:$I$59,9,0)</f>
        <v>Oportunidad de mejora</v>
      </c>
      <c r="G12" s="124">
        <f>+VLOOKUP(A12,'Estado SCI'!$A$16:$L$59,12,0)</f>
        <v>10.12345678912345</v>
      </c>
      <c r="H12" s="124">
        <f t="shared" si="0"/>
        <v>8</v>
      </c>
      <c r="I12" s="124" t="str">
        <f>+IF(VLOOKUP(A12,'Estado SCI'!$A$16:$G$59,7,0)="","",VLOOKUP(A12,'Estado SCI'!$A$16:$G$59,7,0))</f>
        <v>En proceso</v>
      </c>
      <c r="J12" s="125">
        <f t="shared" si="2"/>
        <v>0.5</v>
      </c>
      <c r="K12" s="126">
        <f t="shared" si="1"/>
        <v>0.66666666666666663</v>
      </c>
    </row>
    <row r="13" spans="1:11" x14ac:dyDescent="0.25">
      <c r="A13" s="124" t="s">
        <v>144</v>
      </c>
      <c r="B13" s="124" t="s">
        <v>32</v>
      </c>
      <c r="C13" s="124" t="s">
        <v>33</v>
      </c>
      <c r="D13" s="124" t="s">
        <v>58</v>
      </c>
      <c r="E13" s="124" t="s">
        <v>59</v>
      </c>
      <c r="F13" s="124" t="str">
        <f>+VLOOKUP(A13,'Estado SCI'!$A$16:$I$59,9,0)</f>
        <v>Mantenimiento del control</v>
      </c>
      <c r="G13" s="124">
        <f>+VLOOKUP(A13,'Estado SCI'!$A$16:$L$59,12,0)</f>
        <v>20.123456789123455</v>
      </c>
      <c r="H13" s="124">
        <f t="shared" si="0"/>
        <v>12</v>
      </c>
      <c r="I13" s="124" t="str">
        <f>+IF(VLOOKUP(A13,'Estado SCI'!$A$16:$G$59,7,0)="","",VLOOKUP(A13,'Estado SCI'!$A$16:$G$59,7,0))</f>
        <v>Si</v>
      </c>
      <c r="J13" s="125">
        <f t="shared" si="2"/>
        <v>1</v>
      </c>
      <c r="K13" s="126">
        <f t="shared" si="1"/>
        <v>0.66666666666666663</v>
      </c>
    </row>
    <row r="14" spans="1:11" ht="15" customHeight="1" x14ac:dyDescent="0.25">
      <c r="A14" s="124" t="s">
        <v>145</v>
      </c>
      <c r="B14" s="124" t="str">
        <f>+VLOOKUP(A14,'Estado SCI'!$A$16:$C$59,3,0)</f>
        <v>EVALUACION DEL RIESGO</v>
      </c>
      <c r="C14" s="124" t="s">
        <v>62</v>
      </c>
      <c r="D14" s="124" t="s">
        <v>34</v>
      </c>
      <c r="E14" s="124" t="s">
        <v>146</v>
      </c>
      <c r="F14" s="124" t="str">
        <f>+VLOOKUP(A14,'Estado SCI'!$A$16:$I$59,9,0)</f>
        <v>Oportunidad de mejora</v>
      </c>
      <c r="G14" s="124">
        <f>+VLOOKUP(A14,'Estado SCI'!$A$16:$L$59,12,0)</f>
        <v>30.23</v>
      </c>
      <c r="H14" s="124">
        <f t="shared" si="0"/>
        <v>14</v>
      </c>
      <c r="I14" s="124" t="str">
        <f>+IF(VLOOKUP(A14,'Estado SCI'!$A$16:$G$59,7,0)="","",VLOOKUP(A14,'Estado SCI'!$A$16:$G$59,7,0))</f>
        <v>En proceso</v>
      </c>
      <c r="J14" s="125">
        <f t="shared" si="2"/>
        <v>0.5</v>
      </c>
      <c r="K14" s="126">
        <f t="shared" si="1"/>
        <v>0.5</v>
      </c>
    </row>
    <row r="15" spans="1:11" ht="15" customHeight="1" x14ac:dyDescent="0.25">
      <c r="A15" s="124" t="s">
        <v>147</v>
      </c>
      <c r="B15" s="124" t="s">
        <v>61</v>
      </c>
      <c r="C15" s="124" t="s">
        <v>62</v>
      </c>
      <c r="D15" s="124" t="s">
        <v>37</v>
      </c>
      <c r="E15" s="124" t="s">
        <v>148</v>
      </c>
      <c r="F15" s="124" t="str">
        <f>+VLOOKUP(A15,'Estado SCI'!$A$16:$I$59,9,0)</f>
        <v>Oportunidad de mejora</v>
      </c>
      <c r="G15" s="124">
        <f>+VLOOKUP(A15,'Estado SCI'!$A$16:$L$59,12,0)</f>
        <v>30.234000000000002</v>
      </c>
      <c r="H15" s="124">
        <f t="shared" si="0"/>
        <v>15</v>
      </c>
      <c r="I15" s="124" t="str">
        <f>+IF(VLOOKUP(A15,'Estado SCI'!$A$16:$G$59,7,0)="","",VLOOKUP(A15,'Estado SCI'!$A$16:$G$59,7,0))</f>
        <v>En proceso</v>
      </c>
      <c r="J15" s="125">
        <f t="shared" si="2"/>
        <v>0.5</v>
      </c>
      <c r="K15" s="126">
        <f t="shared" si="1"/>
        <v>0.5</v>
      </c>
    </row>
    <row r="16" spans="1:11" ht="15" customHeight="1" x14ac:dyDescent="0.25">
      <c r="A16" s="124" t="s">
        <v>149</v>
      </c>
      <c r="B16" s="124" t="s">
        <v>61</v>
      </c>
      <c r="C16" s="124" t="s">
        <v>62</v>
      </c>
      <c r="D16" s="124" t="s">
        <v>40</v>
      </c>
      <c r="E16" s="124" t="s">
        <v>150</v>
      </c>
      <c r="F16" s="124" t="str">
        <f>+VLOOKUP(A16,'Estado SCI'!$A$16:$I$59,9,0)</f>
        <v>Oportunidad de mejora</v>
      </c>
      <c r="G16" s="124">
        <f>+VLOOKUP(A16,'Estado SCI'!$A$16:$L$59,12,0)</f>
        <v>30.234500000000001</v>
      </c>
      <c r="H16" s="124">
        <f t="shared" si="0"/>
        <v>16</v>
      </c>
      <c r="I16" s="124" t="str">
        <f>+IF(VLOOKUP(A16,'Estado SCI'!$A$16:$G$59,7,0)="","",VLOOKUP(A16,'Estado SCI'!$A$16:$G$59,7,0))</f>
        <v>En proceso</v>
      </c>
      <c r="J16" s="125">
        <f t="shared" si="2"/>
        <v>0.5</v>
      </c>
      <c r="K16" s="126">
        <f t="shared" si="1"/>
        <v>0.5</v>
      </c>
    </row>
    <row r="17" spans="1:11" ht="15.75" customHeight="1" x14ac:dyDescent="0.25">
      <c r="A17" s="124" t="s">
        <v>151</v>
      </c>
      <c r="B17" s="124" t="s">
        <v>61</v>
      </c>
      <c r="C17" s="124" t="s">
        <v>62</v>
      </c>
      <c r="D17" s="124" t="s">
        <v>42</v>
      </c>
      <c r="E17" s="124" t="s">
        <v>66</v>
      </c>
      <c r="F17" s="124" t="str">
        <f>+VLOOKUP(A17,'Estado SCI'!$A$16:$I$59,9,0)</f>
        <v>Oportunidad de mejora</v>
      </c>
      <c r="G17" s="124">
        <f>+VLOOKUP(A17,'Estado SCI'!$A$16:$L$59,12,0)</f>
        <v>30.234559999999998</v>
      </c>
      <c r="H17" s="124">
        <f t="shared" si="0"/>
        <v>17</v>
      </c>
      <c r="I17" s="124" t="str">
        <f>+IF(VLOOKUP(A17,'Estado SCI'!$A$16:$G$59,7,0)="","",VLOOKUP(A17,'Estado SCI'!$A$16:$G$59,7,0))</f>
        <v>En proceso</v>
      </c>
      <c r="J17" s="125">
        <f t="shared" si="2"/>
        <v>0.5</v>
      </c>
      <c r="K17" s="126">
        <f t="shared" si="1"/>
        <v>0.5</v>
      </c>
    </row>
    <row r="18" spans="1:11" ht="15" customHeight="1" x14ac:dyDescent="0.25">
      <c r="A18" s="124" t="s">
        <v>152</v>
      </c>
      <c r="B18" s="124" t="s">
        <v>61</v>
      </c>
      <c r="C18" s="124" t="s">
        <v>80</v>
      </c>
      <c r="D18" s="124" t="s">
        <v>34</v>
      </c>
      <c r="E18" s="124" t="s">
        <v>69</v>
      </c>
      <c r="F18" s="124" t="str">
        <f>+VLOOKUP(A18,'Estado SCI'!$A$16:$I$59,9,0)</f>
        <v>Oportunidad de mejora</v>
      </c>
      <c r="G18" s="124">
        <f>+VLOOKUP(A18,'Estado SCI'!$A$16:$L$59,12,0)</f>
        <v>30.234566999999998</v>
      </c>
      <c r="H18" s="124">
        <f t="shared" si="0"/>
        <v>18</v>
      </c>
      <c r="I18" s="124" t="str">
        <f>+IF(VLOOKUP(A18,'Estado SCI'!$A$16:$G$59,7,0)="","",VLOOKUP(A18,'Estado SCI'!$A$16:$G$59,7,0))</f>
        <v>En proceso</v>
      </c>
      <c r="J18" s="125">
        <f t="shared" si="2"/>
        <v>0.5</v>
      </c>
      <c r="K18" s="126">
        <f t="shared" si="1"/>
        <v>0.5</v>
      </c>
    </row>
    <row r="19" spans="1:11" ht="15" customHeight="1" x14ac:dyDescent="0.25">
      <c r="A19" s="124" t="s">
        <v>153</v>
      </c>
      <c r="B19" s="124" t="s">
        <v>61</v>
      </c>
      <c r="C19" s="124" t="s">
        <v>80</v>
      </c>
      <c r="D19" s="124" t="s">
        <v>37</v>
      </c>
      <c r="E19" s="124" t="s">
        <v>70</v>
      </c>
      <c r="F19" s="124" t="str">
        <f>+VLOOKUP(A19,'Estado SCI'!$A$16:$I$59,9,0)</f>
        <v>Oportunidad de mejora</v>
      </c>
      <c r="G19" s="124">
        <f>+VLOOKUP(A19,'Estado SCI'!$A$16:$L$59,12,0)</f>
        <v>30.234567800000001</v>
      </c>
      <c r="H19" s="124">
        <f t="shared" si="0"/>
        <v>19</v>
      </c>
      <c r="I19" s="124" t="str">
        <f>+IF(VLOOKUP(A19,'Estado SCI'!$A$16:$G$59,7,0)="","",VLOOKUP(A19,'Estado SCI'!$A$16:$G$59,7,0))</f>
        <v>En proceso</v>
      </c>
      <c r="J19" s="125">
        <f t="shared" si="2"/>
        <v>0.5</v>
      </c>
      <c r="K19" s="126">
        <f t="shared" si="1"/>
        <v>0.5</v>
      </c>
    </row>
    <row r="20" spans="1:11" ht="15" customHeight="1" x14ac:dyDescent="0.25">
      <c r="A20" s="124" t="s">
        <v>154</v>
      </c>
      <c r="B20" s="124" t="s">
        <v>61</v>
      </c>
      <c r="C20" s="124" t="s">
        <v>80</v>
      </c>
      <c r="D20" s="124" t="s">
        <v>40</v>
      </c>
      <c r="E20" s="124" t="s">
        <v>71</v>
      </c>
      <c r="F20" s="124" t="str">
        <f>+VLOOKUP(A20,'Estado SCI'!$A$16:$I$59,9,0)</f>
        <v>Deficiencia de control</v>
      </c>
      <c r="G20" s="124">
        <f>+VLOOKUP(A20,'Estado SCI'!$A$16:$L$59,12,0)</f>
        <v>20.234567890000001</v>
      </c>
      <c r="H20" s="124">
        <f t="shared" si="0"/>
        <v>13</v>
      </c>
      <c r="I20" s="124" t="str">
        <f>+IF(VLOOKUP(A20,'Estado SCI'!$A$16:$G$59,7,0)="","",VLOOKUP(A20,'Estado SCI'!$A$16:$G$59,7,0))</f>
        <v>No</v>
      </c>
      <c r="J20" s="125">
        <f t="shared" si="2"/>
        <v>0</v>
      </c>
      <c r="K20" s="126">
        <f t="shared" si="1"/>
        <v>0.5</v>
      </c>
    </row>
    <row r="21" spans="1:11" ht="15.75" customHeight="1" x14ac:dyDescent="0.25">
      <c r="A21" s="124" t="s">
        <v>155</v>
      </c>
      <c r="B21" s="124" t="s">
        <v>61</v>
      </c>
      <c r="C21" s="124" t="s">
        <v>80</v>
      </c>
      <c r="D21" s="124" t="s">
        <v>34</v>
      </c>
      <c r="E21" s="124" t="s">
        <v>74</v>
      </c>
      <c r="F21" s="124" t="str">
        <f>+VLOOKUP(A21,'Estado SCI'!$A$16:$I$59,9,0)</f>
        <v>Oportunidad de mejora</v>
      </c>
      <c r="G21" s="124">
        <f>+VLOOKUP(A21,'Estado SCI'!$A$16:$L$59,12,0)</f>
        <v>30.234567891200001</v>
      </c>
      <c r="H21" s="124">
        <f t="shared" si="0"/>
        <v>20</v>
      </c>
      <c r="I21" s="124" t="str">
        <f>+IF(VLOOKUP(A21,'Estado SCI'!$A$16:$G$59,7,0)="","",VLOOKUP(A21,'Estado SCI'!$A$16:$G$59,7,0))</f>
        <v>En proceso</v>
      </c>
      <c r="J21" s="125">
        <f t="shared" si="2"/>
        <v>0.5</v>
      </c>
      <c r="K21" s="126">
        <f t="shared" si="1"/>
        <v>0.5</v>
      </c>
    </row>
    <row r="22" spans="1:11" ht="15" customHeight="1" x14ac:dyDescent="0.25">
      <c r="A22" s="124" t="s">
        <v>156</v>
      </c>
      <c r="B22" s="124" t="s">
        <v>61</v>
      </c>
      <c r="C22" s="124" t="s">
        <v>88</v>
      </c>
      <c r="D22" s="124" t="s">
        <v>37</v>
      </c>
      <c r="E22" s="124" t="s">
        <v>75</v>
      </c>
      <c r="F22" s="124" t="str">
        <f>+VLOOKUP(A22,'Estado SCI'!$A$16:$I$59,9,0)</f>
        <v>Oportunidad de mejora</v>
      </c>
      <c r="G22" s="124">
        <f>+VLOOKUP(A22,'Estado SCI'!$A$16:$L$59,12,0)</f>
        <v>30.23456789123</v>
      </c>
      <c r="H22" s="124">
        <f t="shared" si="0"/>
        <v>21</v>
      </c>
      <c r="I22" s="124" t="str">
        <f>+IF(VLOOKUP(A22,'Estado SCI'!$A$16:$G$59,7,0)="","",VLOOKUP(A22,'Estado SCI'!$A$16:$G$59,7,0))</f>
        <v>En proceso</v>
      </c>
      <c r="J22" s="125">
        <f t="shared" si="2"/>
        <v>0.5</v>
      </c>
      <c r="K22" s="126">
        <f t="shared" si="1"/>
        <v>0.5</v>
      </c>
    </row>
    <row r="23" spans="1:11" ht="15" customHeight="1" x14ac:dyDescent="0.25">
      <c r="A23" s="124" t="s">
        <v>157</v>
      </c>
      <c r="B23" s="124" t="s">
        <v>61</v>
      </c>
      <c r="C23" s="124" t="s">
        <v>88</v>
      </c>
      <c r="D23" s="124" t="s">
        <v>40</v>
      </c>
      <c r="E23" s="124" t="s">
        <v>77</v>
      </c>
      <c r="F23" s="124" t="str">
        <f>+VLOOKUP(A23,'Estado SCI'!$A$16:$I$59,9,0)</f>
        <v>Mantenimiento del control</v>
      </c>
      <c r="G23" s="124">
        <f>+VLOOKUP(A23,'Estado SCI'!$A$16:$L$59,12,0)</f>
        <v>40.234567891234001</v>
      </c>
      <c r="H23" s="124">
        <f t="shared" si="0"/>
        <v>22</v>
      </c>
      <c r="I23" s="124" t="str">
        <f>+IF(VLOOKUP(A23,'Estado SCI'!$A$16:$G$59,7,0)="","",VLOOKUP(A23,'Estado SCI'!$A$16:$G$59,7,0))</f>
        <v>Si</v>
      </c>
      <c r="J23" s="125">
        <f t="shared" si="2"/>
        <v>1</v>
      </c>
      <c r="K23" s="126">
        <f t="shared" si="1"/>
        <v>0.5</v>
      </c>
    </row>
    <row r="24" spans="1:11" ht="15" customHeight="1" x14ac:dyDescent="0.25">
      <c r="A24" s="124" t="s">
        <v>158</v>
      </c>
      <c r="B24" s="124" t="str">
        <f>+VLOOKUP(A24,'Estado SCI'!$A$16:$C$59,3,0)</f>
        <v>ACTIVIDADES DE CONTROL</v>
      </c>
      <c r="C24" s="124" t="s">
        <v>88</v>
      </c>
      <c r="D24" s="124" t="s">
        <v>34</v>
      </c>
      <c r="E24" s="124" t="s">
        <v>81</v>
      </c>
      <c r="F24" s="124" t="str">
        <f>+VLOOKUP(A24,'Estado SCI'!$A$16:$I$59,9,0)</f>
        <v>Oportunidad de mejora</v>
      </c>
      <c r="G24" s="124">
        <f>+VLOOKUP(A24,'Estado SCI'!$A$16:$L$59,12,0)</f>
        <v>50.31</v>
      </c>
      <c r="H24" s="124">
        <f t="shared" si="0"/>
        <v>23</v>
      </c>
      <c r="I24" s="124" t="str">
        <f>+IF(VLOOKUP(A24,'Estado SCI'!$A$16:$G$59,7,0)="","",VLOOKUP(A24,'Estado SCI'!$A$16:$G$59,7,0))</f>
        <v>En proceso</v>
      </c>
      <c r="J24" s="125">
        <f t="shared" si="2"/>
        <v>0.5</v>
      </c>
      <c r="K24" s="126">
        <f t="shared" si="1"/>
        <v>0.6</v>
      </c>
    </row>
    <row r="25" spans="1:11" ht="15" customHeight="1" x14ac:dyDescent="0.25">
      <c r="A25" s="124" t="s">
        <v>159</v>
      </c>
      <c r="B25" s="124" t="s">
        <v>79</v>
      </c>
      <c r="C25" s="124" t="s">
        <v>88</v>
      </c>
      <c r="D25" s="124" t="s">
        <v>37</v>
      </c>
      <c r="E25" s="124" t="s">
        <v>82</v>
      </c>
      <c r="F25" s="124" t="str">
        <f>+VLOOKUP(A25,'Estado SCI'!$A$16:$I$59,9,0)</f>
        <v>Oportunidad de mejora</v>
      </c>
      <c r="G25" s="124">
        <f>+VLOOKUP(A25,'Estado SCI'!$A$16:$L$59,12,0)</f>
        <v>50.323</v>
      </c>
      <c r="H25" s="124">
        <f t="shared" si="0"/>
        <v>24</v>
      </c>
      <c r="I25" s="124" t="str">
        <f>+IF(VLOOKUP(A25,'Estado SCI'!$A$16:$G$59,7,0)="","",VLOOKUP(A25,'Estado SCI'!$A$16:$G$59,7,0))</f>
        <v>En proceso</v>
      </c>
      <c r="J25" s="125">
        <f t="shared" si="2"/>
        <v>0.5</v>
      </c>
      <c r="K25" s="126">
        <f t="shared" si="1"/>
        <v>0.6</v>
      </c>
    </row>
    <row r="26" spans="1:11" ht="15" customHeight="1" x14ac:dyDescent="0.25">
      <c r="A26" s="124" t="s">
        <v>160</v>
      </c>
      <c r="B26" s="124" t="s">
        <v>79</v>
      </c>
      <c r="C26" s="124" t="s">
        <v>88</v>
      </c>
      <c r="D26" s="124" t="s">
        <v>40</v>
      </c>
      <c r="E26" s="124" t="s">
        <v>83</v>
      </c>
      <c r="F26" s="124" t="str">
        <f>+VLOOKUP(A26,'Estado SCI'!$A$16:$I$59,9,0)</f>
        <v>Oportunidad de mejora</v>
      </c>
      <c r="G26" s="124">
        <f>+VLOOKUP(A26,'Estado SCI'!$A$16:$L$59,12,0)</f>
        <v>50.323999999999998</v>
      </c>
      <c r="H26" s="124">
        <f t="shared" si="0"/>
        <v>25</v>
      </c>
      <c r="I26" s="124" t="str">
        <f>+IF(VLOOKUP(A26,'Estado SCI'!$A$16:$G$59,7,0)="","",VLOOKUP(A26,'Estado SCI'!$A$16:$G$59,7,0))</f>
        <v>En proceso</v>
      </c>
      <c r="J26" s="125">
        <f t="shared" si="2"/>
        <v>0.5</v>
      </c>
      <c r="K26" s="126">
        <f t="shared" si="1"/>
        <v>0.6</v>
      </c>
    </row>
    <row r="27" spans="1:11" ht="15.75" customHeight="1" x14ac:dyDescent="0.25">
      <c r="A27" s="124" t="s">
        <v>161</v>
      </c>
      <c r="B27" s="124" t="s">
        <v>79</v>
      </c>
      <c r="C27" s="124" t="s">
        <v>88</v>
      </c>
      <c r="D27" s="124" t="s">
        <v>42</v>
      </c>
      <c r="E27" s="124" t="s">
        <v>84</v>
      </c>
      <c r="F27" s="124" t="str">
        <f>+VLOOKUP(A27,'Estado SCI'!$A$16:$I$59,9,0)</f>
        <v>Oportunidad de mejora</v>
      </c>
      <c r="G27" s="124">
        <f>+VLOOKUP(A27,'Estado SCI'!$A$16:$L$59,12,0)</f>
        <v>50.325000000000003</v>
      </c>
      <c r="H27" s="124">
        <f t="shared" si="0"/>
        <v>26</v>
      </c>
      <c r="I27" s="124" t="str">
        <f>+IF(VLOOKUP(A27,'Estado SCI'!$A$16:$G$59,7,0)="","",VLOOKUP(A27,'Estado SCI'!$A$16:$G$59,7,0))</f>
        <v>En proceso</v>
      </c>
      <c r="J27" s="125">
        <f t="shared" si="2"/>
        <v>0.5</v>
      </c>
      <c r="K27" s="126">
        <f t="shared" si="1"/>
        <v>0.6</v>
      </c>
    </row>
    <row r="28" spans="1:11" ht="15" customHeight="1" x14ac:dyDescent="0.25">
      <c r="A28" s="124" t="s">
        <v>162</v>
      </c>
      <c r="B28" s="124" t="s">
        <v>79</v>
      </c>
      <c r="C28" s="124" t="s">
        <v>98</v>
      </c>
      <c r="D28" s="124" t="s">
        <v>44</v>
      </c>
      <c r="E28" s="124" t="s">
        <v>85</v>
      </c>
      <c r="F28" s="124" t="str">
        <f>+VLOOKUP(A28,'Estado SCI'!$A$16:$I$59,9,0)</f>
        <v>Mantenimiento del control</v>
      </c>
      <c r="G28" s="124">
        <f>+VLOOKUP(A28,'Estado SCI'!$A$16:$L$59,12,0)</f>
        <v>60.326000000000001</v>
      </c>
      <c r="H28" s="124">
        <f t="shared" si="0"/>
        <v>27</v>
      </c>
      <c r="I28" s="124" t="str">
        <f>+IF(VLOOKUP(A28,'Estado SCI'!$A$16:$G$59,7,0)="","",VLOOKUP(A28,'Estado SCI'!$A$16:$G$59,7,0))</f>
        <v>Si</v>
      </c>
      <c r="J28" s="125">
        <f t="shared" si="2"/>
        <v>1</v>
      </c>
      <c r="K28" s="126">
        <f t="shared" si="1"/>
        <v>0.6</v>
      </c>
    </row>
    <row r="29" spans="1:11" ht="15" customHeight="1" x14ac:dyDescent="0.25">
      <c r="A29" s="124" t="s">
        <v>163</v>
      </c>
      <c r="B29" s="124" t="str">
        <f>+VLOOKUP(A29,'Estado SCI'!$A$16:$C$59,3,0)</f>
        <v>INFORMACION Y COMUNICACIÓN</v>
      </c>
      <c r="C29" s="124" t="s">
        <v>98</v>
      </c>
      <c r="D29" s="124" t="s">
        <v>34</v>
      </c>
      <c r="E29" s="124" t="s">
        <v>89</v>
      </c>
      <c r="F29" s="124" t="str">
        <f>+VLOOKUP(A29,'Estado SCI'!$A$16:$I$59,9,0)</f>
        <v>Oportunidad de mejora</v>
      </c>
      <c r="G29" s="124">
        <f>+VLOOKUP(A29,'Estado SCI'!$A$16:$L$59,12,0)</f>
        <v>70.412000000000006</v>
      </c>
      <c r="H29" s="124">
        <f t="shared" si="0"/>
        <v>28</v>
      </c>
      <c r="I29" s="124" t="str">
        <f>+IF(VLOOKUP(A29,'Estado SCI'!$A$16:$G$59,7,0)="","",VLOOKUP(A29,'Estado SCI'!$A$16:$G$59,7,0))</f>
        <v>En proceso</v>
      </c>
      <c r="J29" s="125">
        <f t="shared" si="2"/>
        <v>0.5</v>
      </c>
      <c r="K29" s="126">
        <f t="shared" si="1"/>
        <v>0.6428571428571429</v>
      </c>
    </row>
    <row r="30" spans="1:11" ht="15" customHeight="1" x14ac:dyDescent="0.25">
      <c r="A30" s="124" t="s">
        <v>164</v>
      </c>
      <c r="B30" s="124" t="s">
        <v>87</v>
      </c>
      <c r="C30" s="124" t="s">
        <v>98</v>
      </c>
      <c r="D30" s="124" t="s">
        <v>37</v>
      </c>
      <c r="E30" s="124" t="s">
        <v>90</v>
      </c>
      <c r="F30" s="124" t="str">
        <f>+VLOOKUP(A30,'Estado SCI'!$A$16:$I$59,9,0)</f>
        <v>Oportunidad de mejora</v>
      </c>
      <c r="G30" s="124">
        <f>+VLOOKUP(A30,'Estado SCI'!$A$16:$L$59,12,0)</f>
        <v>70.412300000000002</v>
      </c>
      <c r="H30" s="124">
        <f t="shared" si="0"/>
        <v>29</v>
      </c>
      <c r="I30" s="124" t="str">
        <f>+IF(VLOOKUP(A30,'Estado SCI'!$A$16:$G$59,7,0)="","",VLOOKUP(A30,'Estado SCI'!$A$16:$G$59,7,0))</f>
        <v>En proceso</v>
      </c>
      <c r="J30" s="125">
        <f t="shared" si="2"/>
        <v>0.5</v>
      </c>
      <c r="K30" s="126">
        <f t="shared" si="1"/>
        <v>0.6428571428571429</v>
      </c>
    </row>
    <row r="31" spans="1:11" ht="15.75" customHeight="1" x14ac:dyDescent="0.25">
      <c r="A31" s="124" t="s">
        <v>165</v>
      </c>
      <c r="B31" s="124" t="s">
        <v>87</v>
      </c>
      <c r="C31" s="124" t="s">
        <v>98</v>
      </c>
      <c r="D31" s="124" t="s">
        <v>40</v>
      </c>
      <c r="E31" s="124" t="s">
        <v>91</v>
      </c>
      <c r="F31" s="124" t="str">
        <f>+VLOOKUP(A31,'Estado SCI'!$A$16:$I$59,9,0)</f>
        <v>Mantenimiento del control</v>
      </c>
      <c r="G31" s="124">
        <f>+VLOOKUP(A31,'Estado SCI'!$A$16:$L$59,12,0)</f>
        <v>80.41234</v>
      </c>
      <c r="H31" s="124">
        <f t="shared" si="0"/>
        <v>33</v>
      </c>
      <c r="I31" s="124" t="str">
        <f>+IF(VLOOKUP(A31,'Estado SCI'!$A$16:$G$59,7,0)="","",VLOOKUP(A31,'Estado SCI'!$A$16:$G$59,7,0))</f>
        <v>Si</v>
      </c>
      <c r="J31" s="125">
        <f t="shared" si="2"/>
        <v>1</v>
      </c>
      <c r="K31" s="126">
        <f t="shared" si="1"/>
        <v>0.6428571428571429</v>
      </c>
    </row>
    <row r="32" spans="1:11" x14ac:dyDescent="0.25">
      <c r="A32" s="124" t="s">
        <v>166</v>
      </c>
      <c r="B32" s="124" t="s">
        <v>87</v>
      </c>
      <c r="C32" s="124" t="s">
        <v>104</v>
      </c>
      <c r="D32" s="124" t="s">
        <v>42</v>
      </c>
      <c r="E32" s="124" t="s">
        <v>92</v>
      </c>
      <c r="F32" s="124" t="str">
        <f>+VLOOKUP(A32,'Estado SCI'!$A$16:$I$59,9,0)</f>
        <v>Oportunidad de mejora</v>
      </c>
      <c r="G32" s="124">
        <f>+VLOOKUP(A32,'Estado SCI'!$A$16:$L$59,12,0)</f>
        <v>70.412345000000002</v>
      </c>
      <c r="H32" s="124">
        <f t="shared" si="0"/>
        <v>30</v>
      </c>
      <c r="I32" s="124" t="str">
        <f>+IF(VLOOKUP(A32,'Estado SCI'!$A$16:$G$59,7,0)="","",VLOOKUP(A32,'Estado SCI'!$A$16:$G$59,7,0))</f>
        <v>En proceso</v>
      </c>
      <c r="J32" s="125">
        <f t="shared" si="2"/>
        <v>0.5</v>
      </c>
      <c r="K32" s="126">
        <f t="shared" si="1"/>
        <v>0.6428571428571429</v>
      </c>
    </row>
    <row r="33" spans="1:11" x14ac:dyDescent="0.25">
      <c r="A33" s="124" t="s">
        <v>167</v>
      </c>
      <c r="B33" s="124" t="s">
        <v>87</v>
      </c>
      <c r="C33" s="124" t="s">
        <v>168</v>
      </c>
      <c r="D33" s="124" t="s">
        <v>44</v>
      </c>
      <c r="E33" s="124" t="s">
        <v>93</v>
      </c>
      <c r="F33" s="124" t="str">
        <f>+VLOOKUP(A33,'Estado SCI'!$A$16:$I$59,9,0)</f>
        <v>Oportunidad de mejora</v>
      </c>
      <c r="G33" s="124">
        <f>+VLOOKUP(A33,'Estado SCI'!$A$16:$L$59,12,0)</f>
        <v>70.412345599999995</v>
      </c>
      <c r="H33" s="124">
        <f t="shared" si="0"/>
        <v>31</v>
      </c>
      <c r="I33" s="124" t="str">
        <f>+IF(VLOOKUP(A33,'Estado SCI'!$A$16:$G$59,7,0)="","",VLOOKUP(A33,'Estado SCI'!$A$16:$G$59,7,0))</f>
        <v>En proceso</v>
      </c>
      <c r="J33" s="125">
        <f t="shared" si="2"/>
        <v>0.5</v>
      </c>
      <c r="K33" s="126">
        <f t="shared" si="1"/>
        <v>0.6428571428571429</v>
      </c>
    </row>
    <row r="34" spans="1:11" x14ac:dyDescent="0.25">
      <c r="A34" s="124" t="s">
        <v>169</v>
      </c>
      <c r="B34" s="124" t="s">
        <v>87</v>
      </c>
      <c r="C34" s="124" t="s">
        <v>168</v>
      </c>
      <c r="D34" s="124" t="s">
        <v>46</v>
      </c>
      <c r="E34" s="124" t="s">
        <v>94</v>
      </c>
      <c r="F34" s="124" t="str">
        <f>+VLOOKUP(A34,'Estado SCI'!$A$16:$I$59,9,0)</f>
        <v>Mantenimiento del control</v>
      </c>
      <c r="G34" s="124">
        <f>+VLOOKUP(A34,'Estado SCI'!$A$16:$L$59,12,0)</f>
        <v>80.412345669999993</v>
      </c>
      <c r="H34" s="124">
        <f t="shared" si="0"/>
        <v>34</v>
      </c>
      <c r="I34" s="124" t="str">
        <f>+IF(VLOOKUP(A34,'Estado SCI'!$A$16:$G$59,7,0)="","",VLOOKUP(A34,'Estado SCI'!$A$16:$G$59,7,0))</f>
        <v>Si</v>
      </c>
      <c r="J34" s="125">
        <f t="shared" si="2"/>
        <v>1</v>
      </c>
      <c r="K34" s="126">
        <f t="shared" si="1"/>
        <v>0.6428571428571429</v>
      </c>
    </row>
    <row r="35" spans="1:11" x14ac:dyDescent="0.25">
      <c r="A35" s="124" t="s">
        <v>170</v>
      </c>
      <c r="B35" s="124" t="s">
        <v>87</v>
      </c>
      <c r="C35" s="124" t="s">
        <v>168</v>
      </c>
      <c r="D35" s="124" t="s">
        <v>48</v>
      </c>
      <c r="E35" s="124" t="s">
        <v>95</v>
      </c>
      <c r="F35" s="124" t="str">
        <f>+VLOOKUP(A35,'Estado SCI'!$A$16:$I$59,9,0)</f>
        <v>Oportunidad de mejora</v>
      </c>
      <c r="G35" s="124">
        <f>+VLOOKUP(A35,'Estado SCI'!$A$16:$L$59,12,0)</f>
        <v>70.412345677999994</v>
      </c>
      <c r="H35" s="124">
        <f t="shared" si="0"/>
        <v>32</v>
      </c>
      <c r="I35" s="124" t="str">
        <f>+IF(VLOOKUP(A35,'Estado SCI'!$A$16:$G$59,7,0)="","",VLOOKUP(A35,'Estado SCI'!$A$16:$G$59,7,0))</f>
        <v>En proceso</v>
      </c>
      <c r="J35" s="125">
        <f t="shared" si="2"/>
        <v>0.5</v>
      </c>
      <c r="K35" s="126">
        <f t="shared" si="1"/>
        <v>0.6428571428571429</v>
      </c>
    </row>
    <row r="36" spans="1:11" x14ac:dyDescent="0.25">
      <c r="A36" s="124" t="s">
        <v>171</v>
      </c>
      <c r="B36" s="124" t="str">
        <f>+VLOOKUP(A36,'Estado SCI'!$A$16:$C$59,3,0)</f>
        <v>ACTIVIDADES DE MONITOREO</v>
      </c>
      <c r="C36" s="124" t="s">
        <v>168</v>
      </c>
      <c r="D36" s="124" t="s">
        <v>34</v>
      </c>
      <c r="E36" s="124" t="s">
        <v>99</v>
      </c>
      <c r="F36" s="124" t="str">
        <f>+VLOOKUP(A36,'Estado SCI'!$A$16:$I$59,9,0)</f>
        <v>Oportunidad de mejora</v>
      </c>
      <c r="G36" s="124">
        <f>+VLOOKUP(A36,'Estado SCI'!$A$16:$L$59,12,0)</f>
        <v>100.851</v>
      </c>
      <c r="H36" s="124">
        <f t="shared" si="0"/>
        <v>36</v>
      </c>
      <c r="I36" s="124" t="str">
        <f>+IF(VLOOKUP(A36,'Estado SCI'!$A$16:$G$59,7,0)="","",VLOOKUP(A36,'Estado SCI'!$A$16:$G$59,7,0))</f>
        <v>En proceso</v>
      </c>
      <c r="J36" s="125">
        <f t="shared" si="2"/>
        <v>0.5</v>
      </c>
      <c r="K36" s="126">
        <f t="shared" si="1"/>
        <v>0.6</v>
      </c>
    </row>
    <row r="37" spans="1:11" x14ac:dyDescent="0.25">
      <c r="A37" s="124" t="s">
        <v>172</v>
      </c>
      <c r="B37" s="124" t="s">
        <v>97</v>
      </c>
      <c r="C37" s="124" t="s">
        <v>168</v>
      </c>
      <c r="D37" s="124" t="s">
        <v>42</v>
      </c>
      <c r="E37" s="124" t="s">
        <v>100</v>
      </c>
      <c r="F37" s="124" t="str">
        <f>+VLOOKUP(A37,'Estado SCI'!$A$16:$I$59,9,0)</f>
        <v>Oportunidad de mejora</v>
      </c>
      <c r="G37" s="124">
        <f>+VLOOKUP(A37,'Estado SCI'!$A$16:$L$59,12,0)</f>
        <v>100.85120000000001</v>
      </c>
      <c r="H37" s="124">
        <f t="shared" si="0"/>
        <v>37</v>
      </c>
      <c r="I37" s="124" t="str">
        <f>+IF(VLOOKUP(A37,'Estado SCI'!$A$16:$G$59,7,0)="","",VLOOKUP(A37,'Estado SCI'!$A$16:$G$59,7,0))</f>
        <v>En proceso</v>
      </c>
      <c r="J37" s="125">
        <f t="shared" si="2"/>
        <v>0.5</v>
      </c>
      <c r="K37" s="126">
        <f t="shared" si="1"/>
        <v>0.6</v>
      </c>
    </row>
    <row r="38" spans="1:11" x14ac:dyDescent="0.25">
      <c r="A38" s="124" t="s">
        <v>173</v>
      </c>
      <c r="B38" s="124" t="s">
        <v>97</v>
      </c>
      <c r="C38" s="124" t="s">
        <v>68</v>
      </c>
      <c r="D38" s="124" t="s">
        <v>46</v>
      </c>
      <c r="E38" s="124" t="s">
        <v>101</v>
      </c>
      <c r="F38" s="124" t="str">
        <f>+VLOOKUP(A38,'Estado SCI'!$A$16:$I$59,9,0)</f>
        <v>Mantenimiento del control</v>
      </c>
      <c r="G38" s="124">
        <f>+VLOOKUP(A38,'Estado SCI'!$A$16:$L$59,12,0)</f>
        <v>120.85123</v>
      </c>
      <c r="H38" s="124">
        <f t="shared" si="0"/>
        <v>42</v>
      </c>
      <c r="I38" s="124" t="str">
        <f>+IF(VLOOKUP(A38,'Estado SCI'!$A$16:$G$59,7,0)="","",VLOOKUP(A38,'Estado SCI'!$A$16:$G$59,7,0))</f>
        <v>Si</v>
      </c>
      <c r="J38" s="125">
        <f t="shared" si="2"/>
        <v>1</v>
      </c>
      <c r="K38" s="126">
        <f t="shared" si="1"/>
        <v>0.6</v>
      </c>
    </row>
    <row r="39" spans="1:11" x14ac:dyDescent="0.25">
      <c r="A39" s="124" t="s">
        <v>174</v>
      </c>
      <c r="B39" s="124" t="s">
        <v>97</v>
      </c>
      <c r="C39" s="124" t="s">
        <v>68</v>
      </c>
      <c r="D39" s="124" t="s">
        <v>48</v>
      </c>
      <c r="E39" s="124" t="s">
        <v>102</v>
      </c>
      <c r="F39" s="124" t="str">
        <f>+VLOOKUP(A39,'Estado SCI'!$A$16:$I$59,9,0)</f>
        <v>Mantenimiento del control</v>
      </c>
      <c r="G39" s="124">
        <f>+VLOOKUP(A39,'Estado SCI'!$A$16:$L$59,12,0)</f>
        <v>120.85123400000001</v>
      </c>
      <c r="H39" s="124">
        <f t="shared" si="0"/>
        <v>43</v>
      </c>
      <c r="I39" s="124" t="str">
        <f>+IF(VLOOKUP(A39,'Estado SCI'!$A$16:$G$59,7,0)="","",VLOOKUP(A39,'Estado SCI'!$A$16:$G$59,7,0))</f>
        <v>Si</v>
      </c>
      <c r="J39" s="125">
        <f t="shared" si="2"/>
        <v>1</v>
      </c>
      <c r="K39" s="126">
        <f t="shared" si="1"/>
        <v>0.6</v>
      </c>
    </row>
    <row r="40" spans="1:11" x14ac:dyDescent="0.25">
      <c r="A40" s="124" t="s">
        <v>175</v>
      </c>
      <c r="B40" s="124" t="s">
        <v>97</v>
      </c>
      <c r="C40" s="124" t="s">
        <v>68</v>
      </c>
      <c r="D40" s="124" t="s">
        <v>50</v>
      </c>
      <c r="E40" s="124" t="s">
        <v>105</v>
      </c>
      <c r="F40" s="124" t="str">
        <f>+VLOOKUP(A40,'Estado SCI'!$A$16:$I$59,9,0)</f>
        <v>Deficiencia de control</v>
      </c>
      <c r="G40" s="124">
        <f>+VLOOKUP(A40,'Estado SCI'!$A$16:$L$59,12,0)</f>
        <v>80.851234500000004</v>
      </c>
      <c r="H40" s="124">
        <f t="shared" si="0"/>
        <v>35</v>
      </c>
      <c r="I40" s="124" t="str">
        <f>+IF(VLOOKUP(A40,'Estado SCI'!$A$16:$G$59,7,0)="","",VLOOKUP(A40,'Estado SCI'!$A$16:$G$59,7,0))</f>
        <v>No</v>
      </c>
      <c r="J40" s="125">
        <f t="shared" si="2"/>
        <v>0</v>
      </c>
      <c r="K40" s="126">
        <f t="shared" si="1"/>
        <v>0.6</v>
      </c>
    </row>
    <row r="41" spans="1:11" x14ac:dyDescent="0.25">
      <c r="A41" s="124" t="s">
        <v>176</v>
      </c>
      <c r="B41" s="124" t="s">
        <v>97</v>
      </c>
      <c r="C41" s="124" t="s">
        <v>68</v>
      </c>
      <c r="D41" s="124" t="s">
        <v>34</v>
      </c>
      <c r="E41" s="124" t="s">
        <v>108</v>
      </c>
      <c r="F41" s="124" t="str">
        <f>+VLOOKUP(A41,'Estado SCI'!$A$16:$I$59,9,0)</f>
        <v>Mantenimiento del control</v>
      </c>
      <c r="G41" s="124">
        <f>+VLOOKUP(A41,'Estado SCI'!$A$16:$L$59,12,0)</f>
        <v>120.85123455999999</v>
      </c>
      <c r="H41" s="124">
        <f t="shared" si="0"/>
        <v>44</v>
      </c>
      <c r="I41" s="124" t="str">
        <f>+IF(VLOOKUP(A41,'Estado SCI'!$A$16:$G$59,7,0)="","",VLOOKUP(A41,'Estado SCI'!$A$16:$G$59,7,0))</f>
        <v>Si</v>
      </c>
      <c r="J41" s="125">
        <f t="shared" si="2"/>
        <v>1</v>
      </c>
      <c r="K41" s="126">
        <f t="shared" si="1"/>
        <v>0.6</v>
      </c>
    </row>
    <row r="42" spans="1:11" x14ac:dyDescent="0.25">
      <c r="A42" s="124" t="s">
        <v>177</v>
      </c>
      <c r="B42" s="124" t="s">
        <v>97</v>
      </c>
      <c r="C42" s="124" t="s">
        <v>73</v>
      </c>
      <c r="D42" s="124" t="s">
        <v>37</v>
      </c>
      <c r="E42" s="124" t="s">
        <v>109</v>
      </c>
      <c r="F42" s="124" t="str">
        <f>+VLOOKUP(A42,'Estado SCI'!$A$16:$I$59,9,0)</f>
        <v>Oportunidad de mejora</v>
      </c>
      <c r="G42" s="124">
        <f>+VLOOKUP(A42,'Estado SCI'!$A$16:$L$59,12,0)</f>
        <v>100.85123456700001</v>
      </c>
      <c r="H42" s="124">
        <f t="shared" si="0"/>
        <v>38</v>
      </c>
      <c r="I42" s="124" t="str">
        <f>+IF(VLOOKUP(A42,'Estado SCI'!$A$16:$G$59,7,0)="","",VLOOKUP(A42,'Estado SCI'!$A$16:$G$59,7,0))</f>
        <v>En proceso</v>
      </c>
      <c r="J42" s="125">
        <f t="shared" si="2"/>
        <v>0.5</v>
      </c>
      <c r="K42" s="126">
        <f t="shared" si="1"/>
        <v>0.6</v>
      </c>
    </row>
    <row r="43" spans="1:11" x14ac:dyDescent="0.25">
      <c r="A43" s="124" t="s">
        <v>178</v>
      </c>
      <c r="B43" s="124" t="s">
        <v>97</v>
      </c>
      <c r="C43" s="124" t="s">
        <v>73</v>
      </c>
      <c r="D43" s="124" t="s">
        <v>40</v>
      </c>
      <c r="E43" s="124" t="s">
        <v>110</v>
      </c>
      <c r="F43" s="124" t="str">
        <f>+VLOOKUP(A43,'Estado SCI'!$A$16:$I$59,9,0)</f>
        <v>Oportunidad de mejora</v>
      </c>
      <c r="G43" s="124">
        <f>+VLOOKUP(A43,'Estado SCI'!$A$16:$L$59,12,0)</f>
        <v>100.85123456780001</v>
      </c>
      <c r="H43" s="124">
        <f t="shared" si="0"/>
        <v>39</v>
      </c>
      <c r="I43" s="124" t="str">
        <f>+IF(VLOOKUP(A43,'Estado SCI'!$A$16:$G$59,7,0)="","",VLOOKUP(A43,'Estado SCI'!$A$16:$G$59,7,0))</f>
        <v>En proceso</v>
      </c>
      <c r="J43" s="125">
        <f t="shared" si="2"/>
        <v>0.5</v>
      </c>
      <c r="K43" s="126">
        <f t="shared" si="1"/>
        <v>0.6</v>
      </c>
    </row>
    <row r="44" spans="1:11" x14ac:dyDescent="0.25">
      <c r="A44" s="124" t="s">
        <v>179</v>
      </c>
      <c r="B44" s="124" t="s">
        <v>97</v>
      </c>
      <c r="C44" s="124" t="s">
        <v>73</v>
      </c>
      <c r="D44" s="124" t="s">
        <v>42</v>
      </c>
      <c r="E44" s="124" t="s">
        <v>111</v>
      </c>
      <c r="F44" s="124" t="str">
        <f>+VLOOKUP(A44,'Estado SCI'!$A$16:$I$59,9,0)</f>
        <v>Oportunidad de mejora</v>
      </c>
      <c r="G44" s="124">
        <f>+VLOOKUP(A44,'Estado SCI'!$A$16:$L$59,12,0)</f>
        <v>100.85123456789</v>
      </c>
      <c r="H44" s="124">
        <f t="shared" si="0"/>
        <v>40</v>
      </c>
      <c r="I44" s="124" t="str">
        <f>+IF(VLOOKUP(A44,'Estado SCI'!$A$16:$G$59,7,0)="","",VLOOKUP(A44,'Estado SCI'!$A$16:$G$59,7,0))</f>
        <v>En proceso</v>
      </c>
      <c r="J44" s="125">
        <f t="shared" si="2"/>
        <v>0.5</v>
      </c>
      <c r="K44" s="126">
        <f t="shared" si="1"/>
        <v>0.6</v>
      </c>
    </row>
    <row r="45" spans="1:11" x14ac:dyDescent="0.25">
      <c r="A45" s="124" t="s">
        <v>180</v>
      </c>
      <c r="B45" s="124" t="s">
        <v>97</v>
      </c>
      <c r="C45" s="124" t="s">
        <v>73</v>
      </c>
      <c r="D45" s="124" t="s">
        <v>44</v>
      </c>
      <c r="E45" s="124" t="s">
        <v>112</v>
      </c>
      <c r="F45" s="124" t="str">
        <f>+VLOOKUP(A45,'Estado SCI'!$A$16:$I$59,9,0)</f>
        <v>Oportunidad de mejora</v>
      </c>
      <c r="G45" s="124">
        <f>+VLOOKUP(A45,'Estado SCI'!$A$16:$L$59,12,0)</f>
        <v>100.851234567891</v>
      </c>
      <c r="H45" s="124">
        <f t="shared" si="0"/>
        <v>41</v>
      </c>
      <c r="I45" s="124" t="str">
        <f>+IF(VLOOKUP(A45,'Estado SCI'!$A$16:$G$59,7,0)="","",VLOOKUP(A45,'Estado SCI'!$A$16:$G$59,7,0))</f>
        <v>En proceso</v>
      </c>
      <c r="J45" s="125">
        <f t="shared" si="2"/>
        <v>0.5</v>
      </c>
      <c r="K45" s="126">
        <f t="shared" si="1"/>
        <v>0.6</v>
      </c>
    </row>
  </sheetData>
  <sheetProtection sheet="1" objects="1" scenarios="1" selectLockedCells="1"/>
  <autoFilter ref="A1:K4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Instructivo</vt:lpstr>
      <vt:lpstr>Estado SCI</vt:lpstr>
      <vt:lpstr>Conclusión</vt:lpstr>
      <vt:lpstr>Hoja1</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 Juntas Piso 6</dc:creator>
  <cp:lastModifiedBy>equipo8</cp:lastModifiedBy>
  <cp:revision/>
  <dcterms:created xsi:type="dcterms:W3CDTF">2020-04-28T13:58:09Z</dcterms:created>
  <dcterms:modified xsi:type="dcterms:W3CDTF">2022-02-10T16:49:48Z</dcterms:modified>
</cp:coreProperties>
</file>