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documentos\2021\PUBLICACIONES PAGINA WEB\"/>
    </mc:Choice>
  </mc:AlternateContent>
  <bookViews>
    <workbookView xWindow="0" yWindow="0" windowWidth="24000" windowHeight="9135"/>
  </bookViews>
  <sheets>
    <sheet name="Estado SCI" sheetId="1" r:id="rId1"/>
    <sheet name="Conclusión" sheetId="5" r:id="rId2"/>
    <sheet name="Hoja1" sheetId="6" state="hidden" r:id="rId3"/>
  </sheets>
  <externalReferences>
    <externalReference r:id="rId4"/>
  </externalReferences>
  <definedNames>
    <definedName name="_xlnm._FilterDatabase" localSheetId="2" hidden="1">Hoja1!$A$1:$K$45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43" i="6"/>
  <c r="H7" i="6"/>
  <c r="H4" i="6"/>
  <c r="H36" i="6"/>
  <c r="H31" i="6"/>
  <c r="H23" i="6"/>
  <c r="H21" i="6"/>
  <c r="H37" i="6"/>
  <c r="H18" i="6"/>
  <c r="H35" i="6"/>
  <c r="H26" i="6"/>
  <c r="H28" i="6"/>
  <c r="H19" i="6"/>
  <c r="H27" i="6"/>
  <c r="H10" i="6"/>
  <c r="H38" i="6"/>
  <c r="H40" i="6"/>
  <c r="H33" i="6"/>
  <c r="H20" i="6"/>
  <c r="H8" i="6"/>
  <c r="H22" i="6"/>
  <c r="H45" i="6"/>
  <c r="H32" i="6"/>
  <c r="H6" i="6"/>
  <c r="H11" i="6"/>
  <c r="H42" i="6"/>
  <c r="H24" i="6"/>
  <c r="H3" i="6"/>
  <c r="H30" i="6"/>
  <c r="H5" i="6"/>
  <c r="H29" i="6"/>
  <c r="H39" i="6"/>
  <c r="H41" i="6"/>
  <c r="H9" i="6"/>
  <c r="H2" i="6"/>
  <c r="H44" i="6"/>
  <c r="H16" i="6"/>
  <c r="H12" i="6"/>
  <c r="H15" i="6"/>
  <c r="H13" i="6"/>
  <c r="H25" i="6"/>
  <c r="H34" i="6"/>
  <c r="H17" i="6"/>
  <c r="H14" i="6"/>
  <c r="E30" i="5" l="1"/>
  <c r="E26" i="5"/>
  <c r="G26" i="5"/>
  <c r="E28" i="5"/>
  <c r="G28" i="5"/>
  <c r="G34" i="5"/>
  <c r="E34" i="5"/>
  <c r="E32" i="5"/>
  <c r="G32" i="5"/>
  <c r="M8" i="5" l="1"/>
</calcChain>
</file>

<file path=xl/sharedStrings.xml><?xml version="1.0" encoding="utf-8"?>
<sst xmlns="http://schemas.openxmlformats.org/spreadsheetml/2006/main" count="442" uniqueCount="177">
  <si>
    <t>Componente del MECI asociado</t>
  </si>
  <si>
    <t>Lineamiento General por Componente</t>
  </si>
  <si>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</si>
  <si>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</si>
  <si>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</si>
  <si>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</si>
  <si>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</si>
  <si>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</si>
  <si>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</si>
  <si>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</si>
  <si>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</si>
  <si>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</si>
  <si>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</si>
  <si>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</si>
  <si>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</si>
  <si>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</si>
  <si>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</si>
  <si>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</si>
  <si>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</si>
  <si>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</si>
  <si>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</si>
  <si>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</si>
  <si>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</si>
  <si>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</si>
  <si>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</si>
  <si>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</si>
  <si>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</si>
  <si>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</si>
  <si>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</si>
  <si>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</si>
  <si>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</si>
  <si>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</si>
  <si>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</si>
  <si>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</si>
  <si>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</si>
  <si>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</si>
  <si>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</si>
  <si>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</si>
  <si>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</si>
  <si>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</si>
  <si>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</si>
  <si>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</si>
  <si>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</si>
  <si>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</si>
  <si>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</si>
  <si>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</si>
  <si>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</si>
  <si>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</si>
  <si>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</si>
  <si>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</si>
  <si>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</si>
  <si>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</si>
  <si>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</si>
  <si>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</si>
  <si>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</si>
  <si>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</si>
  <si>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</si>
  <si>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</si>
  <si>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</si>
  <si>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</si>
  <si>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</si>
  <si>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</si>
  <si>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</si>
  <si>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</si>
  <si>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</si>
  <si>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</si>
  <si>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</si>
  <si>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</si>
  <si>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</si>
  <si>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</si>
  <si>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</si>
  <si>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</si>
  <si>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</si>
  <si>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</si>
  <si>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</si>
  <si>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</si>
  <si>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</si>
  <si>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</si>
  <si>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</si>
  <si>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</si>
  <si>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</si>
  <si>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</si>
  <si>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</si>
  <si>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</si>
  <si>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</si>
  <si>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</si>
  <si>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</si>
  <si>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</si>
  <si>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</si>
  <si>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</si>
  <si>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</si>
  <si>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 xml:space="preserve">Seguimiento al control </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</si>
  <si>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</si>
  <si>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</si>
  <si>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</si>
  <si>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</si>
  <si>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</si>
  <si>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</si>
  <si>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</si>
  <si>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</si>
  <si>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</si>
  <si>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</si>
  <si>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</si>
  <si>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</si>
  <si>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</si>
  <si>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</si>
  <si>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</si>
  <si>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</si>
  <si>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</si>
  <si>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</si>
  <si>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</si>
  <si>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</si>
  <si>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</si>
  <si>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</si>
  <si>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</si>
  <si>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</si>
  <si>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</si>
  <si>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</si>
  <si>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</si>
  <si>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</si>
  <si>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</si>
  <si>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</si>
  <si>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</si>
  <si>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</si>
  <si>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</si>
  <si>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</si>
  <si>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</si>
  <si>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</si>
  <si>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</si>
  <si>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</si>
  <si>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</si>
  <si>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</si>
  <si>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</si>
  <si>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</si>
  <si>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</si>
  <si>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</si>
  <si>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</si>
  <si>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</si>
  <si>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</si>
  <si>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</si>
  <si>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</si>
  <si>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</si>
  <si>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</si>
  <si>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</si>
  <si>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</si>
  <si>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</si>
  <si>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</si>
  <si>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</si>
  <si>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</si>
  <si>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</si>
  <si>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</si>
  <si>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</si>
  <si>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</si>
  <si>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</si>
  <si>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</si>
  <si>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</si>
  <si>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</si>
  <si>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</si>
  <si>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</si>
  <si>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publicado en pagina web ; www.cenabastos s,a</t>
  </si>
  <si>
    <t>procesos desactualizados.</t>
  </si>
  <si>
    <t>los procesos se encuentran desactualizados.</t>
  </si>
  <si>
    <t>publicado en pagina web ; www.cenabastos s,a, E Informes enviados a otros entes.</t>
  </si>
  <si>
    <t>Reposan en la Direccion administrativa,</t>
  </si>
  <si>
    <t>La informacion no es oportuna</t>
  </si>
  <si>
    <t>Plasmados en el mapa de riesgos, auditorias realizadas por la CGR.</t>
  </si>
  <si>
    <t>La no impelementtacion de las estrategias de Gobierno en linea- MINTIC- vive digital</t>
  </si>
  <si>
    <t>Plasmados en el mapa de riesgos Cenabaastos ,sa</t>
  </si>
  <si>
    <t>Actualizacion de procesos.Plasmados en el Mapa de riesgos de Cenabastos s,a.</t>
  </si>
  <si>
    <t>Seguimientos al Mapa de Riesgos, y plan anticorrupcion.</t>
  </si>
  <si>
    <t>Publicado en pagina web, www.cenabastos.gov.co</t>
  </si>
  <si>
    <t>Publicaciones en Pagina web ; www.cenabastos.gov.co</t>
  </si>
  <si>
    <t>Publicaciones en Pagina web ; www.cenabastos.gov.co. E instalaciones de la entidad</t>
  </si>
  <si>
    <t>Informes presentados alos entes de control.</t>
  </si>
  <si>
    <t>La no impelementtacion de las estrategias de Gobierno en linea- MINTIC- vive digital.</t>
  </si>
  <si>
    <t>CENABASTOS S,A</t>
  </si>
  <si>
    <t>CORTE A 31 DE ENERO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</si>
</sst>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8" x14ac:knownFonts="1">
    <font>
      <sz val="11"/>
      <color theme="1"/>
      <name val="Calibri"/>
      <family val="2"/>
      <scheme val="minor"/>
    </font>
    <font>
      <b/>
      <sz val="12"/>
      <name val="Arial"/>
      <family val="2"/>
    </font>
    <font>
      <sz val="11"/>
      <color theme="1"/>
      <name val="Calibri"/>
      <family val="2"/>
      <scheme val="minor"/>
    </font>
    <font>
      <sz val="11"/>
      <color theme="0"/>
      <name val="Calibri"/>
      <family val="2"/>
      <scheme val="minor"/>
    </font>
    <font>
      <b/>
      <sz val="12"/>
      <color theme="0"/>
      <name val="Arial"/>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2"/>
      <color theme="0"/>
      <name val="Arial Narrow"/>
      <family val="2"/>
    </font>
    <font>
      <sz val="12"/>
      <color theme="1"/>
      <name val="Arial"/>
      <family val="2"/>
    </font>
    <font>
      <sz val="10"/>
      <color theme="1"/>
      <name val="Calibri"/>
      <family val="2"/>
      <scheme val="minor"/>
    </font>
    <font>
      <sz val="10"/>
      <name val="Arial"/>
      <family val="2"/>
    </font>
    <font>
      <sz val="12"/>
      <name val="Times New Roman"/>
      <family val="1"/>
    </font>
    <font>
      <sz val="11"/>
      <name val="Arial Narrow"/>
      <family val="2"/>
    </font>
    <font>
      <sz val="15"/>
      <name val="Arial Narrow"/>
      <family val="2"/>
    </font>
    <font>
      <sz val="15"/>
      <color theme="1"/>
      <name val="Arial Narrow"/>
      <family val="2"/>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3">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s>
  <borders count="4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2" fillId="0" borderId="0" applyFont="0" applyFill="0" applyBorder="0" applyAlignment="0" applyProtection="0"/>
    <xf numFmtId="0" fontId="17" fillId="0" borderId="0"/>
    <xf numFmtId="0" fontId="18" fillId="0" borderId="0"/>
    <xf numFmtId="0" fontId="19" fillId="0" borderId="0"/>
  </cellStyleXfs>
  <cellXfs count="191">
    <xf numFmtId="0" fontId="0" fillId="0" borderId="0" xfId="0"/>
    <xf numFmtId="0" fontId="0" fillId="3" borderId="0" xfId="0" applyFill="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5" fillId="3" borderId="0" xfId="0" applyFont="1" applyFill="1" applyBorder="1" applyAlignment="1">
      <alignment horizontal="center"/>
    </xf>
    <xf numFmtId="0" fontId="0" fillId="3" borderId="20" xfId="0" applyFill="1" applyBorder="1"/>
    <xf numFmtId="164" fontId="5" fillId="3" borderId="0" xfId="0" applyNumberFormat="1" applyFont="1" applyFill="1" applyBorder="1" applyAlignment="1">
      <alignment horizontal="center"/>
    </xf>
    <xf numFmtId="0" fontId="6" fillId="3" borderId="0" xfId="0" applyFont="1" applyFill="1" applyBorder="1" applyAlignment="1">
      <alignment vertical="center"/>
    </xf>
    <xf numFmtId="0" fontId="8" fillId="3" borderId="0" xfId="0" applyFont="1" applyFill="1" applyBorder="1" applyAlignment="1">
      <alignment horizontal="center" vertical="center"/>
    </xf>
    <xf numFmtId="0" fontId="9" fillId="3" borderId="0" xfId="0" applyFont="1" applyFill="1" applyBorder="1"/>
    <xf numFmtId="0" fontId="7" fillId="3" borderId="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0" xfId="0" applyFont="1" applyFill="1" applyBorder="1" applyAlignment="1">
      <alignment horizontal="center" vertical="center"/>
    </xf>
    <xf numFmtId="0" fontId="10" fillId="3" borderId="0" xfId="0" applyFont="1" applyFill="1" applyBorder="1" applyAlignment="1">
      <alignment wrapText="1"/>
    </xf>
    <xf numFmtId="0" fontId="11" fillId="3" borderId="0" xfId="0" applyFont="1" applyFill="1" applyAlignment="1">
      <alignment wrapText="1"/>
    </xf>
    <xf numFmtId="0" fontId="0" fillId="0" borderId="0" xfId="0" applyBorder="1"/>
    <xf numFmtId="0" fontId="4" fillId="0" borderId="0" xfId="0" applyFont="1" applyFill="1" applyBorder="1" applyAlignment="1">
      <alignment vertical="center"/>
    </xf>
    <xf numFmtId="9" fontId="1" fillId="0" borderId="0" xfId="0" applyNumberFormat="1" applyFont="1" applyFill="1" applyBorder="1" applyAlignment="1">
      <alignment vertical="center"/>
    </xf>
    <xf numFmtId="0" fontId="1" fillId="3" borderId="20" xfId="0" applyFont="1" applyFill="1" applyBorder="1" applyAlignment="1">
      <alignment vertical="center"/>
    </xf>
    <xf numFmtId="0" fontId="1" fillId="3" borderId="0" xfId="0" applyFont="1" applyFill="1" applyBorder="1" applyAlignment="1">
      <alignment vertical="center"/>
    </xf>
    <xf numFmtId="0" fontId="0" fillId="0" borderId="0" xfId="0" applyFill="1" applyBorder="1"/>
    <xf numFmtId="0" fontId="0" fillId="0" borderId="3" xfId="0" applyBorder="1"/>
    <xf numFmtId="0" fontId="4" fillId="3" borderId="0" xfId="0" applyFont="1" applyFill="1" applyBorder="1" applyAlignment="1">
      <alignment vertical="center"/>
    </xf>
    <xf numFmtId="0" fontId="1" fillId="3" borderId="0" xfId="0" applyFont="1" applyFill="1" applyBorder="1" applyAlignment="1">
      <alignment horizontal="left" vertical="center"/>
    </xf>
    <xf numFmtId="0" fontId="13" fillId="3" borderId="0" xfId="0" applyFont="1" applyFill="1" applyBorder="1" applyAlignment="1">
      <alignment vertical="center"/>
    </xf>
    <xf numFmtId="0" fontId="14" fillId="3" borderId="0" xfId="0" applyFont="1" applyFill="1" applyBorder="1"/>
    <xf numFmtId="0" fontId="0" fillId="3" borderId="31" xfId="0" applyFill="1" applyBorder="1"/>
    <xf numFmtId="0" fontId="0" fillId="3" borderId="32" xfId="0" applyFill="1" applyBorder="1"/>
    <xf numFmtId="0" fontId="0" fillId="3" borderId="33" xfId="0" applyFill="1" applyBorder="1"/>
    <xf numFmtId="0" fontId="16" fillId="0" borderId="0" xfId="0" applyFont="1" applyBorder="1" applyAlignment="1">
      <alignment horizontal="center" wrapText="1"/>
    </xf>
    <xf numFmtId="0" fontId="4" fillId="3" borderId="0" xfId="0" applyFont="1" applyFill="1" applyBorder="1" applyAlignment="1">
      <alignment horizontal="center" vertical="center" wrapText="1"/>
    </xf>
    <xf numFmtId="0" fontId="3" fillId="3" borderId="0" xfId="0" applyFont="1" applyFill="1" applyBorder="1"/>
    <xf numFmtId="0" fontId="4" fillId="3" borderId="0" xfId="0" applyFont="1" applyFill="1" applyBorder="1" applyAlignment="1">
      <alignment horizontal="left" vertical="center"/>
    </xf>
    <xf numFmtId="9" fontId="4" fillId="3" borderId="0" xfId="0" applyNumberFormat="1" applyFont="1" applyFill="1" applyBorder="1" applyAlignment="1">
      <alignment horizontal="center" vertical="center"/>
    </xf>
    <xf numFmtId="0" fontId="3" fillId="3" borderId="0" xfId="0" applyFont="1" applyFill="1" applyBorder="1" applyAlignment="1">
      <alignment horizontal="left"/>
    </xf>
    <xf numFmtId="0" fontId="5" fillId="3" borderId="0" xfId="0" applyFont="1" applyFill="1"/>
    <xf numFmtId="0" fontId="5" fillId="0" borderId="0" xfId="0" applyFont="1"/>
    <xf numFmtId="0" fontId="20" fillId="0" borderId="0" xfId="0" applyFont="1" applyAlignment="1">
      <alignment vertical="top"/>
    </xf>
    <xf numFmtId="49" fontId="20" fillId="0" borderId="0" xfId="0" applyNumberFormat="1" applyFont="1" applyAlignment="1">
      <alignment horizontal="center" vertical="top"/>
    </xf>
    <xf numFmtId="0" fontId="5" fillId="3" borderId="0" xfId="0" applyFont="1" applyFill="1" applyAlignment="1">
      <alignment vertical="center"/>
    </xf>
    <xf numFmtId="0" fontId="5" fillId="0" borderId="0" xfId="0" applyFont="1" applyAlignment="1">
      <alignment vertical="center"/>
    </xf>
    <xf numFmtId="0" fontId="6" fillId="3" borderId="0" xfId="0" applyFont="1" applyFill="1"/>
    <xf numFmtId="0" fontId="6" fillId="3" borderId="0" xfId="0" applyNumberFormat="1" applyFont="1" applyFill="1"/>
    <xf numFmtId="0" fontId="6" fillId="0" borderId="0" xfId="0" applyFont="1" applyAlignment="1">
      <alignment vertical="top"/>
    </xf>
    <xf numFmtId="0" fontId="6" fillId="0" borderId="0" xfId="0" applyNumberFormat="1" applyFont="1" applyAlignment="1">
      <alignment vertical="top"/>
    </xf>
    <xf numFmtId="0" fontId="6" fillId="0" borderId="0" xfId="0" applyNumberFormat="1" applyFont="1"/>
    <xf numFmtId="0" fontId="25" fillId="6" borderId="10" xfId="0" applyFont="1" applyFill="1" applyBorder="1" applyAlignment="1">
      <alignment horizontal="center" vertical="top" wrapText="1"/>
    </xf>
    <xf numFmtId="49" fontId="26" fillId="4" borderId="7" xfId="0" applyNumberFormat="1"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center" vertical="center" wrapText="1"/>
    </xf>
    <xf numFmtId="0" fontId="28" fillId="0" borderId="3" xfId="0" applyFont="1" applyFill="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center" vertical="center" wrapText="1"/>
    </xf>
    <xf numFmtId="0" fontId="27" fillId="0" borderId="4" xfId="0" applyFont="1" applyBorder="1" applyAlignment="1">
      <alignment horizontal="left" vertical="center" wrapText="1"/>
    </xf>
    <xf numFmtId="0" fontId="27" fillId="0" borderId="3"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7" fillId="10" borderId="3" xfId="0" applyFont="1" applyFill="1" applyBorder="1" applyAlignment="1">
      <alignment horizontal="center" vertical="center" wrapText="1"/>
    </xf>
    <xf numFmtId="0" fontId="30" fillId="0" borderId="0" xfId="0" applyFont="1" applyBorder="1" applyAlignment="1">
      <alignment horizontal="center" wrapText="1"/>
    </xf>
    <xf numFmtId="0" fontId="7" fillId="1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1" fillId="2" borderId="3" xfId="0" applyFont="1" applyFill="1" applyBorder="1" applyAlignment="1">
      <alignment horizontal="center" vertical="center"/>
    </xf>
    <xf numFmtId="0" fontId="23" fillId="0" borderId="3" xfId="0" applyFont="1" applyFill="1" applyBorder="1" applyAlignment="1">
      <alignment horizontal="center" vertical="center"/>
    </xf>
    <xf numFmtId="0" fontId="33" fillId="0" borderId="0" xfId="0" applyFont="1" applyBorder="1" applyAlignment="1">
      <alignment horizontal="center"/>
    </xf>
    <xf numFmtId="0" fontId="32" fillId="9" borderId="3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0" fillId="0" borderId="0" xfId="0" applyNumberFormat="1" applyFont="1" applyAlignment="1" applyProtection="1">
      <alignment horizontal="center" vertical="top"/>
      <protection hidden="1"/>
    </xf>
    <xf numFmtId="0" fontId="21" fillId="0" borderId="35" xfId="0" applyFont="1" applyBorder="1" applyAlignment="1" applyProtection="1">
      <alignment horizontal="center" vertical="center" wrapText="1"/>
      <protection hidden="1"/>
    </xf>
    <xf numFmtId="0" fontId="6" fillId="0" borderId="0" xfId="0" applyNumberFormat="1" applyFont="1" applyAlignment="1" applyProtection="1">
      <alignment horizontal="center" vertical="top"/>
      <protection hidden="1"/>
    </xf>
    <xf numFmtId="0" fontId="22" fillId="0" borderId="8" xfId="0" applyFont="1" applyFill="1" applyBorder="1" applyAlignment="1" applyProtection="1">
      <alignment horizontal="center" vertical="center" wrapText="1"/>
      <protection hidden="1"/>
    </xf>
    <xf numFmtId="49" fontId="6" fillId="0" borderId="0" xfId="0" applyNumberFormat="1" applyFont="1" applyAlignment="1" applyProtection="1">
      <alignment horizontal="center" vertical="top"/>
      <protection hidden="1"/>
    </xf>
    <xf numFmtId="0" fontId="21" fillId="0" borderId="8" xfId="0" applyFont="1" applyBorder="1" applyAlignment="1" applyProtection="1">
      <alignment horizontal="center" vertical="center" wrapText="1"/>
      <protection hidden="1"/>
    </xf>
    <xf numFmtId="0" fontId="21" fillId="0" borderId="36" xfId="0" applyFont="1" applyBorder="1" applyAlignment="1" applyProtection="1">
      <alignment horizontal="center" vertical="center" wrapText="1"/>
      <protection hidden="1"/>
    </xf>
    <xf numFmtId="0" fontId="6" fillId="0" borderId="0" xfId="0" applyNumberFormat="1" applyFont="1" applyAlignment="1" applyProtection="1">
      <alignment vertical="top"/>
      <protection hidden="1"/>
    </xf>
    <xf numFmtId="0" fontId="21" fillId="0" borderId="35" xfId="0" applyFont="1" applyFill="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locked="0"/>
    </xf>
    <xf numFmtId="0" fontId="20" fillId="0" borderId="35" xfId="0" applyFont="1" applyBorder="1" applyAlignment="1" applyProtection="1">
      <alignment horizontal="left" vertical="center" wrapText="1"/>
      <protection locked="0"/>
    </xf>
    <xf numFmtId="0" fontId="24" fillId="0" borderId="3"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center" wrapText="1"/>
      <protection locked="0"/>
    </xf>
    <xf numFmtId="0" fontId="24" fillId="0" borderId="3" xfId="0" applyFont="1" applyBorder="1" applyAlignment="1" applyProtection="1">
      <alignment horizontal="center" vertical="center" wrapText="1"/>
      <protection locked="0"/>
    </xf>
    <xf numFmtId="0" fontId="20" fillId="0" borderId="8" xfId="0" applyFont="1" applyBorder="1" applyAlignment="1" applyProtection="1">
      <alignment horizontal="left" vertical="center" wrapText="1"/>
      <protection locked="0"/>
    </xf>
    <xf numFmtId="0" fontId="24" fillId="0" borderId="4" xfId="0" applyFont="1" applyBorder="1" applyAlignment="1" applyProtection="1">
      <alignment horizontal="center" vertical="center" wrapText="1"/>
      <protection locked="0"/>
    </xf>
    <xf numFmtId="0" fontId="20" fillId="0" borderId="36" xfId="0" applyFont="1" applyBorder="1" applyAlignment="1" applyProtection="1">
      <alignment horizontal="left" vertical="center" wrapText="1"/>
      <protection locked="0"/>
    </xf>
    <xf numFmtId="0" fontId="24" fillId="0" borderId="2" xfId="0" applyFont="1" applyFill="1" applyBorder="1" applyAlignment="1" applyProtection="1">
      <alignment horizontal="center" vertical="center" wrapText="1"/>
      <protection locked="0"/>
    </xf>
    <xf numFmtId="0" fontId="20" fillId="0" borderId="35" xfId="0" applyFont="1" applyFill="1" applyBorder="1" applyAlignment="1" applyProtection="1">
      <alignment horizontal="left" vertical="center" wrapText="1"/>
      <protection locked="0"/>
    </xf>
    <xf numFmtId="9" fontId="23" fillId="2" borderId="25" xfId="0" applyNumberFormat="1"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9" fontId="12" fillId="11" borderId="3" xfId="0" applyNumberFormat="1" applyFont="1" applyFill="1" applyBorder="1" applyAlignment="1" applyProtection="1">
      <alignment horizontal="center" vertical="center"/>
      <protection hidden="1"/>
    </xf>
    <xf numFmtId="49" fontId="35" fillId="3" borderId="2" xfId="0" applyNumberFormat="1" applyFont="1" applyFill="1" applyBorder="1" applyAlignment="1" applyProtection="1">
      <alignment horizontal="center" vertical="center" wrapText="1"/>
      <protection locked="0"/>
    </xf>
    <xf numFmtId="49" fontId="35" fillId="3" borderId="3" xfId="0" applyNumberFormat="1" applyFont="1" applyFill="1" applyBorder="1" applyAlignment="1" applyProtection="1">
      <alignment horizontal="center" vertical="center" wrapText="1"/>
      <protection locked="0"/>
    </xf>
    <xf numFmtId="49" fontId="35" fillId="3" borderId="4" xfId="0" applyNumberFormat="1" applyFont="1" applyFill="1" applyBorder="1" applyAlignment="1" applyProtection="1">
      <alignment horizontal="center" vertical="center" wrapText="1"/>
      <protection locked="0"/>
    </xf>
    <xf numFmtId="49" fontId="15" fillId="4" borderId="7" xfId="0" applyNumberFormat="1" applyFont="1" applyFill="1" applyBorder="1" applyAlignment="1" applyProtection="1">
      <alignment horizontal="center" vertical="center" wrapText="1"/>
      <protection hidden="1"/>
    </xf>
    <xf numFmtId="0" fontId="15" fillId="4" borderId="7" xfId="0" applyFont="1" applyFill="1" applyBorder="1" applyAlignment="1" applyProtection="1">
      <alignment horizontal="center" vertical="center" wrapText="1"/>
      <protection hidden="1"/>
    </xf>
    <xf numFmtId="0" fontId="15" fillId="4" borderId="9" xfId="0" applyFont="1" applyFill="1" applyBorder="1" applyAlignment="1" applyProtection="1">
      <alignment horizontal="center" vertical="center" wrapText="1"/>
      <protection hidden="1"/>
    </xf>
    <xf numFmtId="0" fontId="15" fillId="4" borderId="37"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25" fillId="6" borderId="13" xfId="0" applyNumberFormat="1" applyFont="1" applyFill="1" applyBorder="1" applyAlignment="1">
      <alignment horizontal="center" vertical="center" wrapText="1"/>
    </xf>
    <xf numFmtId="49" fontId="25" fillId="6" borderId="10" xfId="0" applyNumberFormat="1"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6" xfId="0" applyFont="1" applyFill="1" applyBorder="1" applyAlignment="1">
      <alignment horizontal="center" vertical="center" wrapText="1"/>
    </xf>
    <xf numFmtId="49" fontId="25" fillId="6" borderId="13" xfId="0" applyNumberFormat="1" applyFont="1" applyFill="1" applyBorder="1" applyAlignment="1">
      <alignment horizontal="center" vertical="center" wrapText="1"/>
    </xf>
    <xf numFmtId="49" fontId="25" fillId="6" borderId="14" xfId="0" applyNumberFormat="1" applyFont="1" applyFill="1" applyBorder="1" applyAlignment="1">
      <alignment horizontal="center" vertical="center" wrapText="1"/>
    </xf>
    <xf numFmtId="49" fontId="25" fillId="6" borderId="15" xfId="0" applyNumberFormat="1" applyFont="1" applyFill="1" applyBorder="1" applyAlignment="1">
      <alignment horizontal="center" vertical="center" wrapText="1"/>
    </xf>
    <xf numFmtId="49" fontId="25" fillId="5" borderId="10" xfId="0" applyNumberFormat="1" applyFont="1" applyFill="1" applyBorder="1" applyAlignment="1">
      <alignment horizontal="center" vertical="center" wrapText="1"/>
    </xf>
    <xf numFmtId="49" fontId="25" fillId="5" borderId="11" xfId="0" applyNumberFormat="1" applyFont="1" applyFill="1" applyBorder="1" applyAlignment="1">
      <alignment horizontal="center" vertical="center" wrapText="1"/>
    </xf>
    <xf numFmtId="49" fontId="25" fillId="5" borderId="12" xfId="0" applyNumberFormat="1" applyFont="1" applyFill="1" applyBorder="1" applyAlignment="1">
      <alignment horizontal="center" vertical="center" wrapText="1"/>
    </xf>
    <xf numFmtId="49" fontId="25" fillId="7" borderId="10" xfId="0" applyNumberFormat="1" applyFont="1" applyFill="1" applyBorder="1" applyAlignment="1">
      <alignment horizontal="center" vertical="center" wrapText="1"/>
    </xf>
    <xf numFmtId="49" fontId="25" fillId="7" borderId="11" xfId="0" applyNumberFormat="1" applyFont="1" applyFill="1" applyBorder="1" applyAlignment="1">
      <alignment horizontal="center" vertical="center" wrapText="1"/>
    </xf>
    <xf numFmtId="49" fontId="25" fillId="7" borderId="12" xfId="0"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5" fillId="2" borderId="11" xfId="0" applyNumberFormat="1"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49" fontId="25" fillId="8" borderId="10" xfId="0" applyNumberFormat="1" applyFont="1" applyFill="1" applyBorder="1" applyAlignment="1">
      <alignment horizontal="center" vertical="center" wrapText="1"/>
    </xf>
    <xf numFmtId="49" fontId="25" fillId="8" borderId="11" xfId="0" applyNumberFormat="1" applyFont="1" applyFill="1" applyBorder="1" applyAlignment="1">
      <alignment horizontal="center" vertical="center" wrapText="1"/>
    </xf>
    <xf numFmtId="49" fontId="25" fillId="8" borderId="12" xfId="0" applyNumberFormat="1" applyFont="1" applyFill="1" applyBorder="1" applyAlignment="1">
      <alignment horizontal="center" vertical="center" wrapText="1"/>
    </xf>
    <xf numFmtId="49" fontId="25" fillId="6" borderId="10" xfId="0" applyNumberFormat="1" applyFont="1" applyFill="1" applyBorder="1" applyAlignment="1">
      <alignment horizontal="center" vertical="center" wrapText="1"/>
    </xf>
    <xf numFmtId="49" fontId="25" fillId="6" borderId="11" xfId="0" applyNumberFormat="1" applyFont="1" applyFill="1" applyBorder="1" applyAlignment="1">
      <alignment horizontal="center" vertical="center" wrapText="1"/>
    </xf>
    <xf numFmtId="49" fontId="25" fillId="6" borderId="12" xfId="0" applyNumberFormat="1" applyFont="1" applyFill="1" applyBorder="1" applyAlignment="1">
      <alignment horizontal="center" vertical="center" wrapText="1"/>
    </xf>
    <xf numFmtId="49" fontId="25" fillId="7" borderId="3" xfId="0" applyNumberFormat="1" applyFont="1" applyFill="1" applyBorder="1" applyAlignment="1">
      <alignment horizontal="center" vertical="center" wrapText="1"/>
    </xf>
    <xf numFmtId="0" fontId="25" fillId="7" borderId="3" xfId="0" applyFont="1" applyFill="1" applyBorder="1" applyAlignment="1">
      <alignment horizontal="center" vertical="center" wrapText="1"/>
    </xf>
    <xf numFmtId="49" fontId="25" fillId="7" borderId="14" xfId="0" applyNumberFormat="1" applyFont="1" applyFill="1" applyBorder="1" applyAlignment="1">
      <alignment horizontal="center" vertical="center" wrapText="1"/>
    </xf>
    <xf numFmtId="0" fontId="25" fillId="7" borderId="11" xfId="0" applyFont="1" applyFill="1" applyBorder="1" applyAlignment="1">
      <alignment horizontal="center" vertical="center" wrapText="1"/>
    </xf>
    <xf numFmtId="49" fontId="25" fillId="2" borderId="13" xfId="0" applyNumberFormat="1" applyFont="1" applyFill="1" applyBorder="1" applyAlignment="1">
      <alignment horizontal="center" vertical="center" wrapText="1"/>
    </xf>
    <xf numFmtId="49" fontId="25" fillId="2" borderId="14" xfId="0" applyNumberFormat="1" applyFont="1" applyFill="1" applyBorder="1" applyAlignment="1">
      <alignment horizontal="center" vertical="center" wrapText="1"/>
    </xf>
    <xf numFmtId="49" fontId="25" fillId="2" borderId="15"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49" fontId="26" fillId="4" borderId="0" xfId="0" applyNumberFormat="1" applyFont="1" applyFill="1" applyBorder="1" applyAlignment="1">
      <alignment horizontal="center" vertical="center"/>
    </xf>
    <xf numFmtId="0" fontId="25" fillId="8" borderId="10"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2" xfId="0" applyFont="1" applyFill="1" applyBorder="1" applyAlignment="1">
      <alignment horizontal="center" vertical="center" wrapText="1"/>
    </xf>
    <xf numFmtId="49" fontId="25" fillId="8" borderId="13" xfId="0" applyNumberFormat="1" applyFont="1" applyFill="1" applyBorder="1" applyAlignment="1">
      <alignment horizontal="center" vertical="center" wrapText="1"/>
    </xf>
    <xf numFmtId="49" fontId="25" fillId="8" borderId="14" xfId="0" applyNumberFormat="1" applyFont="1" applyFill="1" applyBorder="1" applyAlignment="1">
      <alignment horizontal="center" vertical="center" wrapText="1"/>
    </xf>
    <xf numFmtId="49" fontId="25" fillId="8" borderId="15" xfId="0" applyNumberFormat="1"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49" fontId="6" fillId="5" borderId="13" xfId="0" applyNumberFormat="1" applyFont="1" applyFill="1" applyBorder="1" applyAlignment="1">
      <alignment horizontal="center" vertical="center" wrapText="1"/>
    </xf>
    <xf numFmtId="49" fontId="6" fillId="5" borderId="14" xfId="0" applyNumberFormat="1"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49" fontId="6" fillId="7" borderId="13" xfId="0" applyNumberFormat="1" applyFont="1" applyFill="1" applyBorder="1" applyAlignment="1">
      <alignment horizontal="center" vertical="center" wrapText="1"/>
    </xf>
    <xf numFmtId="49" fontId="6" fillId="7" borderId="14" xfId="0" applyNumberFormat="1" applyFont="1" applyFill="1" applyBorder="1" applyAlignment="1">
      <alignment horizontal="center" vertical="center" wrapText="1"/>
    </xf>
    <xf numFmtId="49" fontId="6" fillId="7" borderId="15" xfId="0" applyNumberFormat="1" applyFont="1" applyFill="1" applyBorder="1" applyAlignment="1">
      <alignment horizontal="center" vertical="center" wrapText="1"/>
    </xf>
    <xf numFmtId="0" fontId="25" fillId="7" borderId="10" xfId="0" applyFont="1" applyFill="1" applyBorder="1" applyAlignment="1">
      <alignment horizontal="center" vertical="center" wrapText="1"/>
    </xf>
    <xf numFmtId="0" fontId="25" fillId="7" borderId="12" xfId="0" applyFont="1" applyFill="1" applyBorder="1" applyAlignment="1">
      <alignment horizontal="center" vertical="center" wrapText="1"/>
    </xf>
    <xf numFmtId="49" fontId="29" fillId="3" borderId="42" xfId="0" applyNumberFormat="1" applyFont="1" applyFill="1" applyBorder="1" applyAlignment="1">
      <alignment horizontal="left" vertical="center" wrapText="1"/>
    </xf>
    <xf numFmtId="49" fontId="29" fillId="3" borderId="3" xfId="0" applyNumberFormat="1" applyFont="1" applyFill="1" applyBorder="1" applyAlignment="1">
      <alignment horizontal="left" vertical="center" wrapText="1"/>
    </xf>
    <xf numFmtId="49" fontId="29" fillId="3" borderId="43" xfId="0" applyNumberFormat="1" applyFont="1" applyFill="1" applyBorder="1" applyAlignment="1">
      <alignment horizontal="left" vertical="center" wrapText="1"/>
    </xf>
    <xf numFmtId="49" fontId="29" fillId="3" borderId="4" xfId="0" applyNumberFormat="1" applyFont="1" applyFill="1" applyBorder="1" applyAlignment="1">
      <alignment horizontal="left" vertical="center" wrapText="1"/>
    </xf>
    <xf numFmtId="0" fontId="31" fillId="2" borderId="7"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6" fillId="3" borderId="3" xfId="0" applyFont="1" applyFill="1" applyBorder="1" applyAlignment="1" applyProtection="1">
      <alignment horizontal="center" vertical="center"/>
      <protection locked="0"/>
    </xf>
    <xf numFmtId="164" fontId="36" fillId="3" borderId="21" xfId="0" applyNumberFormat="1" applyFont="1" applyFill="1" applyBorder="1" applyAlignment="1" applyProtection="1">
      <alignment horizontal="center" vertical="center"/>
      <protection locked="0"/>
    </xf>
    <xf numFmtId="164" fontId="36" fillId="3" borderId="22" xfId="0" applyNumberFormat="1" applyFont="1" applyFill="1" applyBorder="1" applyAlignment="1" applyProtection="1">
      <alignment horizontal="center" vertical="center"/>
      <protection locked="0"/>
    </xf>
    <xf numFmtId="164" fontId="36" fillId="3" borderId="8" xfId="0" applyNumberFormat="1" applyFont="1" applyFill="1" applyBorder="1" applyAlignment="1" applyProtection="1">
      <alignment horizontal="center" vertical="center"/>
      <protection locked="0"/>
    </xf>
    <xf numFmtId="0" fontId="32" fillId="2" borderId="23"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49" fontId="29" fillId="3" borderId="41" xfId="0" applyNumberFormat="1" applyFont="1" applyFill="1" applyBorder="1" applyAlignment="1">
      <alignment horizontal="left" vertical="center" wrapText="1"/>
    </xf>
    <xf numFmtId="49" fontId="29" fillId="3" borderId="2" xfId="0" applyNumberFormat="1" applyFont="1" applyFill="1" applyBorder="1" applyAlignment="1">
      <alignment horizontal="left" vertical="center" wrapText="1"/>
    </xf>
    <xf numFmtId="49" fontId="0" fillId="3" borderId="2" xfId="0" applyNumberFormat="1" applyFill="1" applyBorder="1" applyAlignment="1" applyProtection="1">
      <alignment horizontal="center" vertical="top" wrapText="1"/>
      <protection locked="0"/>
    </xf>
    <xf numFmtId="49" fontId="0" fillId="3" borderId="38" xfId="0" applyNumberFormat="1" applyFill="1" applyBorder="1" applyAlignment="1" applyProtection="1">
      <alignment horizontal="center" vertical="top" wrapText="1"/>
      <protection locked="0"/>
    </xf>
    <xf numFmtId="49" fontId="0" fillId="3" borderId="3" xfId="0" applyNumberFormat="1" applyFill="1" applyBorder="1" applyAlignment="1" applyProtection="1">
      <alignment horizontal="center" vertical="top" wrapText="1"/>
      <protection locked="0"/>
    </xf>
    <xf numFmtId="49" fontId="0" fillId="3" borderId="39" xfId="0" applyNumberFormat="1" applyFill="1" applyBorder="1" applyAlignment="1" applyProtection="1">
      <alignment horizontal="center" vertical="top" wrapText="1"/>
      <protection locked="0"/>
    </xf>
    <xf numFmtId="49" fontId="0" fillId="3" borderId="4" xfId="0" applyNumberFormat="1" applyFill="1" applyBorder="1" applyAlignment="1" applyProtection="1">
      <alignment horizontal="center" vertical="top" wrapText="1"/>
      <protection locked="0"/>
    </xf>
    <xf numFmtId="49" fontId="0" fillId="3" borderId="40" xfId="0" applyNumberFormat="1" applyFill="1" applyBorder="1" applyAlignment="1" applyProtection="1">
      <alignment horizontal="center" vertical="top" wrapText="1"/>
      <protection locked="0"/>
    </xf>
    <xf numFmtId="0" fontId="0" fillId="0" borderId="2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4" xfId="0" applyBorder="1" applyAlignment="1" applyProtection="1">
      <alignment horizontal="center"/>
      <protection locked="0"/>
    </xf>
    <xf numFmtId="0" fontId="32" fillId="9" borderId="0" xfId="0" applyFont="1" applyFill="1" applyBorder="1" applyAlignment="1">
      <alignment horizontal="center" vertical="center" wrapText="1"/>
    </xf>
    <xf numFmtId="0" fontId="37" fillId="0" borderId="23" xfId="0"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protection locked="0"/>
    </xf>
    <xf numFmtId="0" fontId="37" fillId="0" borderId="24" xfId="0" applyFont="1" applyFill="1" applyBorder="1" applyAlignment="1" applyProtection="1">
      <alignment horizontal="center" vertical="center"/>
      <protection locked="0"/>
    </xf>
    <xf numFmtId="0" fontId="0" fillId="0" borderId="34" xfId="0" applyBorder="1" applyAlignment="1">
      <alignment horizontal="center"/>
    </xf>
    <xf numFmtId="0" fontId="0" fillId="0" borderId="1" xfId="0" applyBorder="1" applyAlignment="1">
      <alignment horizontal="center"/>
    </xf>
  </cellXfs>
  <cellStyles count="5">
    <cellStyle name="Normal" xfId="0" builtinId="0"/>
    <cellStyle name="Normal - Style1 2" xfId="3"/>
    <cellStyle name="Normal 2" xfId="2"/>
    <cellStyle name="Normal 2 2" xfId="4"/>
    <cellStyle name="Porcentaje" xfId="1" builtinId="5"/>
  </cellStyles>
  <dxfs count="12">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abSelected="1" topLeftCell="D1" zoomScale="80" zoomScaleNormal="80" workbookViewId="0">
      <selection activeCell="G56" sqref="G56"/>
    </sheetView>
  </sheetViews>
  <sheetFormatPr baseColWidth="10" defaultColWidth="11.42578125" defaultRowHeight="16.5" x14ac:dyDescent="0.3"/>
  <cols>
    <col min="1" max="1" width="3" style="39" hidden="1" customWidth="1"/>
    <col min="2" max="2" width="9.42578125" style="39" customWidth="1"/>
    <col min="3" max="3" width="25.5703125" style="39" customWidth="1"/>
    <col min="4" max="4" width="46.5703125" style="39" customWidth="1"/>
    <col min="5" max="5" width="10.140625" style="43" customWidth="1"/>
    <col min="6" max="6" width="44.5703125" style="43" customWidth="1"/>
    <col min="7" max="7" width="15.42578125" style="39" customWidth="1"/>
    <col min="8" max="9" width="43" style="39" customWidth="1"/>
    <col min="10" max="12" width="11.42578125" style="48" customWidth="1"/>
    <col min="13" max="24" width="11.42578125" style="39" customWidth="1"/>
    <col min="25" max="16384" width="11.42578125" style="39"/>
  </cols>
  <sheetData>
    <row r="1" spans="1:32" x14ac:dyDescent="0.3">
      <c r="B1" s="38"/>
      <c r="C1" s="38"/>
      <c r="D1" s="38"/>
      <c r="E1" s="42"/>
      <c r="F1" s="42"/>
      <c r="G1" s="38"/>
      <c r="H1" s="38"/>
      <c r="I1" s="38"/>
      <c r="J1" s="44"/>
      <c r="K1" s="44"/>
      <c r="L1" s="45"/>
      <c r="M1" s="38"/>
      <c r="N1" s="38"/>
      <c r="O1" s="38"/>
      <c r="P1" s="38"/>
      <c r="Q1" s="38"/>
      <c r="R1" s="38"/>
      <c r="S1" s="38"/>
      <c r="T1" s="38"/>
      <c r="U1" s="38"/>
      <c r="V1" s="38"/>
      <c r="W1" s="38"/>
      <c r="X1" s="38"/>
    </row>
    <row r="2" spans="1:32" x14ac:dyDescent="0.3">
      <c r="B2" s="38"/>
      <c r="C2" s="38"/>
      <c r="D2" s="38"/>
      <c r="E2" s="42"/>
      <c r="F2" s="42"/>
      <c r="G2" s="38"/>
      <c r="H2" s="38"/>
      <c r="I2" s="38"/>
      <c r="J2" s="44"/>
      <c r="K2" s="44"/>
      <c r="L2" s="45"/>
      <c r="M2" s="38"/>
      <c r="N2" s="38"/>
      <c r="O2" s="38"/>
      <c r="P2" s="38"/>
      <c r="Q2" s="38"/>
      <c r="R2" s="38"/>
      <c r="S2" s="38"/>
      <c r="T2" s="38"/>
      <c r="U2" s="38"/>
      <c r="V2" s="38"/>
      <c r="W2" s="38"/>
      <c r="X2" s="38"/>
    </row>
    <row r="3" spans="1:32" x14ac:dyDescent="0.3">
      <c r="B3" s="38"/>
      <c r="C3" s="38"/>
      <c r="D3" s="38"/>
      <c r="E3" s="42"/>
      <c r="F3" s="42"/>
      <c r="G3" s="38"/>
      <c r="H3" s="38"/>
      <c r="I3" s="38"/>
      <c r="J3" s="44"/>
      <c r="K3" s="44"/>
      <c r="L3" s="45"/>
      <c r="M3" s="38"/>
      <c r="N3" s="38"/>
      <c r="O3" s="38"/>
      <c r="P3" s="38"/>
      <c r="Q3" s="38"/>
      <c r="R3" s="38"/>
      <c r="S3" s="38"/>
      <c r="T3" s="38"/>
      <c r="U3" s="38"/>
      <c r="V3" s="38"/>
      <c r="W3" s="38"/>
      <c r="X3" s="38"/>
    </row>
    <row r="4" spans="1:32" x14ac:dyDescent="0.3">
      <c r="B4" s="38"/>
      <c r="C4" s="38"/>
      <c r="D4" s="38"/>
      <c r="E4" s="42"/>
      <c r="F4" s="42"/>
      <c r="G4" s="38"/>
      <c r="H4" s="38"/>
      <c r="I4" s="38"/>
      <c r="J4" s="44"/>
      <c r="K4" s="44"/>
      <c r="L4" s="45"/>
      <c r="M4" s="38"/>
      <c r="N4" s="38"/>
      <c r="O4" s="38"/>
      <c r="P4" s="38"/>
      <c r="Q4" s="38"/>
      <c r="R4" s="38"/>
      <c r="S4" s="38"/>
      <c r="T4" s="38"/>
      <c r="U4" s="38"/>
      <c r="V4" s="38"/>
      <c r="W4" s="38"/>
      <c r="X4" s="38"/>
    </row>
    <row r="5" spans="1:32" x14ac:dyDescent="0.3">
      <c r="B5" s="38"/>
      <c r="C5" s="38"/>
      <c r="D5" s="38"/>
      <c r="E5" s="42"/>
      <c r="F5" s="42"/>
      <c r="G5" s="38"/>
      <c r="H5" s="38"/>
      <c r="I5" s="38"/>
      <c r="J5" s="44"/>
      <c r="K5" s="44"/>
      <c r="L5" s="45"/>
      <c r="M5" s="38"/>
      <c r="N5" s="38"/>
      <c r="O5" s="38"/>
      <c r="P5" s="38"/>
      <c r="Q5" s="38"/>
      <c r="R5" s="38"/>
      <c r="S5" s="38"/>
      <c r="T5" s="38"/>
      <c r="U5" s="38"/>
      <c r="V5" s="38"/>
      <c r="W5" s="38"/>
      <c r="X5" s="38"/>
    </row>
    <row r="6" spans="1:32" x14ac:dyDescent="0.3">
      <c r="B6" s="38"/>
      <c r="C6" s="38"/>
      <c r="D6" s="38"/>
      <c r="E6" s="42"/>
      <c r="F6" s="42"/>
      <c r="G6" s="38"/>
      <c r="H6" s="38"/>
      <c r="I6" s="38"/>
      <c r="J6" s="44"/>
      <c r="K6" s="44"/>
      <c r="L6" s="45"/>
      <c r="M6" s="38"/>
      <c r="N6" s="38"/>
      <c r="O6" s="38"/>
      <c r="P6" s="38"/>
      <c r="Q6" s="38"/>
      <c r="R6" s="38"/>
      <c r="S6" s="38"/>
      <c r="T6" s="38"/>
      <c r="U6" s="38"/>
      <c r="V6" s="38"/>
      <c r="W6" s="38"/>
      <c r="X6" s="38"/>
    </row>
    <row r="7" spans="1:32" x14ac:dyDescent="0.3">
      <c r="B7" s="38"/>
      <c r="C7" s="38"/>
      <c r="D7" s="38"/>
      <c r="E7" s="42"/>
      <c r="F7" s="42"/>
      <c r="G7" s="38"/>
      <c r="H7" s="38"/>
      <c r="I7" s="38"/>
      <c r="J7" s="44"/>
      <c r="K7" s="44"/>
      <c r="L7" s="45"/>
      <c r="M7" s="38"/>
      <c r="N7" s="38"/>
      <c r="O7" s="38"/>
      <c r="P7" s="38"/>
      <c r="Q7" s="38"/>
      <c r="R7" s="38"/>
      <c r="S7" s="38"/>
      <c r="T7" s="38"/>
      <c r="U7" s="38"/>
      <c r="V7" s="38"/>
      <c r="W7" s="38"/>
      <c r="X7" s="38"/>
    </row>
    <row r="8" spans="1:32" x14ac:dyDescent="0.3">
      <c r="B8" s="38"/>
      <c r="C8" s="38"/>
      <c r="D8" s="38"/>
      <c r="E8" s="42"/>
      <c r="F8" s="42"/>
      <c r="G8" s="38"/>
      <c r="H8" s="38"/>
      <c r="I8" s="38"/>
      <c r="J8" s="44"/>
      <c r="K8" s="44"/>
      <c r="L8" s="45"/>
      <c r="M8" s="38"/>
      <c r="N8" s="38"/>
      <c r="O8" s="38"/>
      <c r="P8" s="38"/>
      <c r="Q8" s="38"/>
      <c r="R8" s="38"/>
      <c r="S8" s="38"/>
      <c r="T8" s="38"/>
      <c r="U8" s="38"/>
      <c r="V8" s="38"/>
      <c r="W8" s="38"/>
      <c r="X8" s="38"/>
    </row>
    <row r="9" spans="1:32" x14ac:dyDescent="0.3">
      <c r="B9" s="38"/>
      <c r="C9" s="38"/>
      <c r="D9" s="38"/>
      <c r="E9" s="42"/>
      <c r="F9" s="42"/>
      <c r="G9" s="38"/>
      <c r="H9" s="38"/>
      <c r="I9" s="38"/>
      <c r="J9" s="44"/>
      <c r="K9" s="44"/>
      <c r="L9" s="45"/>
      <c r="M9" s="38"/>
      <c r="N9" s="38"/>
      <c r="O9" s="38"/>
      <c r="P9" s="38"/>
      <c r="Q9" s="38"/>
      <c r="R9" s="38"/>
      <c r="S9" s="38"/>
      <c r="T9" s="38"/>
      <c r="U9" s="38"/>
      <c r="V9" s="38"/>
      <c r="W9" s="38"/>
      <c r="X9" s="38"/>
    </row>
    <row r="10" spans="1:32" x14ac:dyDescent="0.3">
      <c r="B10" s="38"/>
      <c r="C10" s="38"/>
      <c r="D10" s="38"/>
      <c r="E10" s="42"/>
      <c r="F10" s="42"/>
      <c r="G10" s="38"/>
      <c r="H10" s="38"/>
      <c r="I10" s="38"/>
      <c r="J10" s="44"/>
      <c r="K10" s="44"/>
      <c r="L10" s="45"/>
      <c r="M10" s="38"/>
      <c r="N10" s="38"/>
      <c r="O10" s="38"/>
      <c r="P10" s="38"/>
      <c r="Q10" s="38"/>
      <c r="R10" s="38"/>
      <c r="S10" s="38"/>
      <c r="T10" s="38"/>
      <c r="U10" s="38"/>
      <c r="V10" s="38"/>
      <c r="W10" s="38"/>
      <c r="X10" s="38"/>
    </row>
    <row r="11" spans="1:32" x14ac:dyDescent="0.3">
      <c r="B11" s="38"/>
      <c r="C11" s="38"/>
      <c r="D11" s="38"/>
      <c r="E11" s="42"/>
      <c r="F11" s="42"/>
      <c r="G11" s="38"/>
      <c r="H11" s="38"/>
      <c r="I11" s="38"/>
      <c r="J11" s="44"/>
      <c r="K11" s="44"/>
      <c r="L11" s="45"/>
      <c r="M11" s="38"/>
      <c r="N11" s="38"/>
      <c r="O11" s="38"/>
      <c r="P11" s="38"/>
      <c r="Q11" s="38"/>
      <c r="R11" s="38"/>
      <c r="S11" s="38"/>
      <c r="T11" s="38"/>
      <c r="U11" s="38"/>
      <c r="V11" s="38"/>
      <c r="W11" s="38"/>
      <c r="X11" s="38"/>
    </row>
    <row r="12" spans="1:32" x14ac:dyDescent="0.3">
      <c r="B12" s="38"/>
      <c r="C12" s="38"/>
      <c r="D12" s="38"/>
      <c r="E12" s="42"/>
      <c r="F12" s="42"/>
      <c r="G12" s="38"/>
      <c r="H12" s="38"/>
      <c r="I12" s="38"/>
      <c r="J12" s="44"/>
      <c r="K12" s="44"/>
      <c r="L12" s="45"/>
      <c r="M12" s="38"/>
      <c r="N12" s="38"/>
      <c r="O12" s="38"/>
      <c r="P12" s="38"/>
      <c r="Q12" s="38"/>
      <c r="R12" s="38"/>
      <c r="S12" s="38"/>
      <c r="T12" s="38"/>
      <c r="U12" s="38"/>
      <c r="V12" s="38"/>
      <c r="W12" s="38"/>
      <c r="X12" s="38"/>
    </row>
    <row r="13" spans="1:32" x14ac:dyDescent="0.3">
      <c r="B13" s="38"/>
      <c r="C13" s="38"/>
      <c r="D13" s="38"/>
      <c r="E13" s="42"/>
      <c r="F13" s="42"/>
      <c r="G13" s="38"/>
      <c r="H13" s="38"/>
      <c r="I13" s="38"/>
      <c r="J13" s="44"/>
      <c r="K13" s="44"/>
      <c r="L13" s="45"/>
      <c r="M13" s="38"/>
      <c r="N13" s="38"/>
      <c r="O13" s="38"/>
      <c r="P13" s="38"/>
      <c r="Q13" s="38"/>
      <c r="R13" s="38"/>
      <c r="S13" s="38"/>
      <c r="T13" s="38"/>
      <c r="U13" s="38"/>
      <c r="V13" s="38"/>
      <c r="W13" s="38"/>
      <c r="X13" s="38"/>
    </row>
    <row r="14" spans="1:32" s="41" customFormat="1" ht="49.5" customHeight="1" x14ac:dyDescent="0.25">
      <c r="B14" s="139" t="s">
        <v>2</v>
      </c>
      <c r="C14" s="139"/>
      <c r="D14" s="139"/>
      <c r="E14" s="139"/>
      <c r="F14" s="139"/>
      <c r="G14" s="139"/>
      <c r="H14" s="139"/>
      <c r="I14" s="139"/>
      <c r="J14" s="46"/>
      <c r="K14" s="46"/>
      <c r="L14" s="47"/>
      <c r="M14" s="40"/>
      <c r="N14" s="40"/>
      <c r="O14" s="40"/>
      <c r="P14" s="40"/>
      <c r="Q14" s="40"/>
      <c r="R14" s="40"/>
      <c r="S14" s="40"/>
      <c r="T14" s="40"/>
      <c r="U14" s="40"/>
      <c r="V14" s="40"/>
      <c r="W14" s="40"/>
      <c r="X14" s="40"/>
      <c r="Y14" s="40"/>
      <c r="Z14" s="40"/>
      <c r="AA14" s="40"/>
      <c r="AB14" s="40"/>
      <c r="AC14" s="40"/>
      <c r="AD14" s="40"/>
      <c r="AE14" s="40"/>
      <c r="AF14" s="40"/>
    </row>
    <row r="15" spans="1:32" s="41" customFormat="1" ht="123.75" customHeight="1" thickBot="1" x14ac:dyDescent="0.3">
      <c r="B15" s="50" t="s">
        <v>3</v>
      </c>
      <c r="C15" s="50" t="s">
        <v>0</v>
      </c>
      <c r="D15" s="51" t="s">
        <v>1</v>
      </c>
      <c r="E15" s="52" t="s">
        <v>4</v>
      </c>
      <c r="F15" s="52" t="s">
        <v>5</v>
      </c>
      <c r="G15" s="52" t="s">
        <v>6</v>
      </c>
      <c r="H15" s="53" t="s">
        <v>7</v>
      </c>
      <c r="I15" s="52" t="s">
        <v>8</v>
      </c>
      <c r="J15" s="46"/>
      <c r="K15" s="46"/>
      <c r="L15" s="47"/>
      <c r="M15" s="40"/>
      <c r="N15" s="40"/>
      <c r="O15" s="40"/>
      <c r="P15" s="40"/>
      <c r="Q15" s="40"/>
      <c r="R15" s="40"/>
      <c r="S15" s="40"/>
      <c r="T15" s="40"/>
      <c r="U15" s="40"/>
      <c r="V15" s="40"/>
      <c r="W15" s="40"/>
      <c r="X15" s="40"/>
      <c r="Y15" s="40"/>
      <c r="Z15" s="40"/>
      <c r="AA15" s="40"/>
      <c r="AB15" s="40"/>
      <c r="AC15" s="40"/>
      <c r="AD15" s="40"/>
      <c r="AE15" s="40"/>
      <c r="AF15" s="40"/>
    </row>
    <row r="16" spans="1:32" s="41" customFormat="1" ht="71.25" customHeight="1" x14ac:dyDescent="0.25">
      <c r="A16" s="74" t="str">
        <f>1&amp;E16</f>
        <v>1a</v>
      </c>
      <c r="B16" s="150" t="s">
        <v>9</v>
      </c>
      <c r="C16" s="114" t="s">
        <v>10</v>
      </c>
      <c r="D16" s="147" t="s">
        <v>11</v>
      </c>
      <c r="E16" s="54" t="s">
        <v>12</v>
      </c>
      <c r="F16" s="55" t="s">
        <v>13</v>
      </c>
      <c r="G16" s="83" t="s">
        <v>14</v>
      </c>
      <c r="H16" s="84" t="s">
        <v>160</v>
      </c>
      <c r="I16" s="75" t="str">
        <f>+IF(G16="Si","Mantenimiento del control",IF(G16="En proceso","Oportunidad de mejora","Deficiencia de control"))</f>
        <v>Deficiencia de control</v>
      </c>
      <c r="J16" s="76">
        <f t="shared" ref="J16:J27" si="0">+IF(G16="Si",20,IF(G16="En proceso",10,0))</f>
        <v>0</v>
      </c>
      <c r="K16" s="76">
        <v>0.123</v>
      </c>
      <c r="L16" s="76">
        <f>+J16+K16</f>
        <v>0.123</v>
      </c>
    </row>
    <row r="17" spans="1:32" s="41" customFormat="1" ht="63" x14ac:dyDescent="0.25">
      <c r="A17" s="74" t="str">
        <f t="shared" ref="A17:A27" si="1">1&amp;E17</f>
        <v>1b</v>
      </c>
      <c r="B17" s="151"/>
      <c r="C17" s="115"/>
      <c r="D17" s="148"/>
      <c r="E17" s="56" t="s">
        <v>15</v>
      </c>
      <c r="F17" s="57" t="s">
        <v>16</v>
      </c>
      <c r="G17" s="85" t="s">
        <v>17</v>
      </c>
      <c r="H17" s="86" t="s">
        <v>159</v>
      </c>
      <c r="I17" s="77" t="str">
        <f t="shared" ref="I17:I59" si="2">+IF(G17="Si","Mantenimiento del control",IF(G17="En proceso","Oportunidad de mejora","Deficiencia de control"))</f>
        <v>Mantenimiento del control</v>
      </c>
      <c r="J17" s="78">
        <f t="shared" si="0"/>
        <v>20</v>
      </c>
      <c r="K17" s="76">
        <v>0.1234</v>
      </c>
      <c r="L17" s="76">
        <f t="shared" ref="L17:L59" si="3">+J17+K17</f>
        <v>20.1234</v>
      </c>
    </row>
    <row r="18" spans="1:32" s="41" customFormat="1" ht="64.5" customHeight="1" x14ac:dyDescent="0.25">
      <c r="A18" s="74" t="str">
        <f t="shared" si="1"/>
        <v>1c</v>
      </c>
      <c r="B18" s="151"/>
      <c r="C18" s="115"/>
      <c r="D18" s="148"/>
      <c r="E18" s="56" t="s">
        <v>18</v>
      </c>
      <c r="F18" s="58" t="s">
        <v>19</v>
      </c>
      <c r="G18" s="87" t="s">
        <v>17</v>
      </c>
      <c r="H18" s="88" t="s">
        <v>159</v>
      </c>
      <c r="I18" s="79" t="str">
        <f t="shared" si="2"/>
        <v>Mantenimiento del control</v>
      </c>
      <c r="J18" s="78">
        <f t="shared" si="0"/>
        <v>20</v>
      </c>
      <c r="K18" s="76">
        <v>0.12345</v>
      </c>
      <c r="L18" s="76">
        <f t="shared" si="3"/>
        <v>20.123449999999998</v>
      </c>
    </row>
    <row r="19" spans="1:32" s="41" customFormat="1" ht="37.5" customHeight="1" x14ac:dyDescent="0.25">
      <c r="A19" s="74" t="str">
        <f t="shared" si="1"/>
        <v>1d</v>
      </c>
      <c r="B19" s="151"/>
      <c r="C19" s="115"/>
      <c r="D19" s="148"/>
      <c r="E19" s="56" t="s">
        <v>20</v>
      </c>
      <c r="F19" s="58" t="s">
        <v>21</v>
      </c>
      <c r="G19" s="87" t="s">
        <v>17</v>
      </c>
      <c r="H19" s="88"/>
      <c r="I19" s="79" t="str">
        <f t="shared" si="2"/>
        <v>Mantenimiento del control</v>
      </c>
      <c r="J19" s="78">
        <f t="shared" si="0"/>
        <v>20</v>
      </c>
      <c r="K19" s="76">
        <v>0.123456</v>
      </c>
      <c r="L19" s="76">
        <f t="shared" si="3"/>
        <v>20.123456000000001</v>
      </c>
    </row>
    <row r="20" spans="1:32" s="41" customFormat="1" ht="37.5" customHeight="1" x14ac:dyDescent="0.25">
      <c r="A20" s="74" t="str">
        <f t="shared" si="1"/>
        <v>1e</v>
      </c>
      <c r="B20" s="151"/>
      <c r="C20" s="115"/>
      <c r="D20" s="148"/>
      <c r="E20" s="56" t="s">
        <v>22</v>
      </c>
      <c r="F20" s="58" t="s">
        <v>23</v>
      </c>
      <c r="G20" s="87" t="s">
        <v>17</v>
      </c>
      <c r="H20" s="88"/>
      <c r="I20" s="79" t="str">
        <f t="shared" si="2"/>
        <v>Mantenimiento del control</v>
      </c>
      <c r="J20" s="78">
        <f t="shared" si="0"/>
        <v>20</v>
      </c>
      <c r="K20" s="76">
        <v>0.12345678</v>
      </c>
      <c r="L20" s="76">
        <f t="shared" si="3"/>
        <v>20.123456780000001</v>
      </c>
    </row>
    <row r="21" spans="1:32" s="41" customFormat="1" ht="63.75" customHeight="1" x14ac:dyDescent="0.25">
      <c r="A21" s="74" t="str">
        <f t="shared" si="1"/>
        <v>1f</v>
      </c>
      <c r="B21" s="151"/>
      <c r="C21" s="115"/>
      <c r="D21" s="148"/>
      <c r="E21" s="56" t="s">
        <v>24</v>
      </c>
      <c r="F21" s="58" t="s">
        <v>25</v>
      </c>
      <c r="G21" s="87" t="s">
        <v>17</v>
      </c>
      <c r="H21" s="88" t="s">
        <v>161</v>
      </c>
      <c r="I21" s="79" t="str">
        <f t="shared" si="2"/>
        <v>Mantenimiento del control</v>
      </c>
      <c r="J21" s="78">
        <f t="shared" si="0"/>
        <v>20</v>
      </c>
      <c r="K21" s="76">
        <v>0.123456789</v>
      </c>
      <c r="L21" s="76">
        <f t="shared" si="3"/>
        <v>20.123456788999999</v>
      </c>
    </row>
    <row r="22" spans="1:32" s="41" customFormat="1" ht="65.25" customHeight="1" x14ac:dyDescent="0.25">
      <c r="A22" s="74" t="str">
        <f t="shared" si="1"/>
        <v>1g</v>
      </c>
      <c r="B22" s="151"/>
      <c r="C22" s="115"/>
      <c r="D22" s="148"/>
      <c r="E22" s="56" t="s">
        <v>26</v>
      </c>
      <c r="F22" s="58" t="s">
        <v>27</v>
      </c>
      <c r="G22" s="87" t="s">
        <v>17</v>
      </c>
      <c r="H22" s="88" t="s">
        <v>163</v>
      </c>
      <c r="I22" s="79" t="str">
        <f t="shared" si="2"/>
        <v>Mantenimiento del control</v>
      </c>
      <c r="J22" s="78">
        <f t="shared" si="0"/>
        <v>20</v>
      </c>
      <c r="K22" s="76">
        <v>0.12345678910000001</v>
      </c>
      <c r="L22" s="76">
        <f t="shared" si="3"/>
        <v>20.1234567891</v>
      </c>
    </row>
    <row r="23" spans="1:32" s="41" customFormat="1" ht="62.25" customHeight="1" x14ac:dyDescent="0.25">
      <c r="A23" s="74" t="str">
        <f t="shared" si="1"/>
        <v>1h</v>
      </c>
      <c r="B23" s="151"/>
      <c r="C23" s="115"/>
      <c r="D23" s="148"/>
      <c r="E23" s="56" t="s">
        <v>28</v>
      </c>
      <c r="F23" s="58" t="s">
        <v>29</v>
      </c>
      <c r="G23" s="87" t="s">
        <v>17</v>
      </c>
      <c r="H23" s="88" t="s">
        <v>163</v>
      </c>
      <c r="I23" s="79" t="str">
        <f t="shared" si="2"/>
        <v>Mantenimiento del control</v>
      </c>
      <c r="J23" s="78">
        <f t="shared" si="0"/>
        <v>20</v>
      </c>
      <c r="K23" s="76">
        <v>0.12345678911999999</v>
      </c>
      <c r="L23" s="76">
        <f t="shared" si="3"/>
        <v>20.123456789119999</v>
      </c>
    </row>
    <row r="24" spans="1:32" s="41" customFormat="1" ht="57.75" customHeight="1" x14ac:dyDescent="0.25">
      <c r="A24" s="74" t="str">
        <f t="shared" si="1"/>
        <v>1i</v>
      </c>
      <c r="B24" s="151"/>
      <c r="C24" s="115"/>
      <c r="D24" s="148"/>
      <c r="E24" s="56" t="s">
        <v>30</v>
      </c>
      <c r="F24" s="58" t="s">
        <v>31</v>
      </c>
      <c r="G24" s="87" t="s">
        <v>17</v>
      </c>
      <c r="H24" s="88"/>
      <c r="I24" s="79" t="str">
        <f t="shared" si="2"/>
        <v>Mantenimiento del control</v>
      </c>
      <c r="J24" s="78">
        <f t="shared" si="0"/>
        <v>20</v>
      </c>
      <c r="K24" s="76">
        <v>0.123456789123</v>
      </c>
      <c r="L24" s="76">
        <f t="shared" si="3"/>
        <v>20.123456789123001</v>
      </c>
    </row>
    <row r="25" spans="1:32" s="41" customFormat="1" ht="52.5" customHeight="1" x14ac:dyDescent="0.25">
      <c r="A25" s="74" t="str">
        <f t="shared" si="1"/>
        <v>1j</v>
      </c>
      <c r="B25" s="151"/>
      <c r="C25" s="115"/>
      <c r="D25" s="148"/>
      <c r="E25" s="56" t="s">
        <v>32</v>
      </c>
      <c r="F25" s="58" t="s">
        <v>33</v>
      </c>
      <c r="G25" s="87" t="s">
        <v>17</v>
      </c>
      <c r="H25" s="88" t="s">
        <v>163</v>
      </c>
      <c r="I25" s="79" t="str">
        <f t="shared" si="2"/>
        <v>Mantenimiento del control</v>
      </c>
      <c r="J25" s="78">
        <f t="shared" si="0"/>
        <v>20</v>
      </c>
      <c r="K25" s="76">
        <v>0.1234567891234</v>
      </c>
      <c r="L25" s="76">
        <f t="shared" si="3"/>
        <v>20.123456789123399</v>
      </c>
    </row>
    <row r="26" spans="1:32" s="41" customFormat="1" ht="42" customHeight="1" x14ac:dyDescent="0.25">
      <c r="A26" s="74" t="str">
        <f t="shared" si="1"/>
        <v>1k</v>
      </c>
      <c r="B26" s="151"/>
      <c r="C26" s="115"/>
      <c r="D26" s="148"/>
      <c r="E26" s="56" t="s">
        <v>34</v>
      </c>
      <c r="F26" s="58" t="s">
        <v>35</v>
      </c>
      <c r="G26" s="87" t="s">
        <v>17</v>
      </c>
      <c r="H26" s="88" t="s">
        <v>159</v>
      </c>
      <c r="I26" s="79" t="str">
        <f t="shared" si="2"/>
        <v>Mantenimiento del control</v>
      </c>
      <c r="J26" s="78">
        <f t="shared" si="0"/>
        <v>20</v>
      </c>
      <c r="K26" s="76">
        <v>0.12345678912345</v>
      </c>
      <c r="L26" s="76">
        <f t="shared" si="3"/>
        <v>20.123456789123448</v>
      </c>
    </row>
    <row r="27" spans="1:32" s="41" customFormat="1" ht="33.75" thickBot="1" x14ac:dyDescent="0.3">
      <c r="A27" s="74" t="str">
        <f t="shared" si="1"/>
        <v>1l</v>
      </c>
      <c r="B27" s="152"/>
      <c r="C27" s="116"/>
      <c r="D27" s="149"/>
      <c r="E27" s="59" t="s">
        <v>36</v>
      </c>
      <c r="F27" s="60" t="s">
        <v>37</v>
      </c>
      <c r="G27" s="89" t="s">
        <v>17</v>
      </c>
      <c r="H27" s="90" t="s">
        <v>162</v>
      </c>
      <c r="I27" s="80" t="str">
        <f t="shared" si="2"/>
        <v>Mantenimiento del control</v>
      </c>
      <c r="J27" s="78">
        <f t="shared" si="0"/>
        <v>20</v>
      </c>
      <c r="K27" s="76">
        <v>0.12345678912345601</v>
      </c>
      <c r="L27" s="76">
        <f t="shared" si="3"/>
        <v>20.123456789123455</v>
      </c>
    </row>
    <row r="28" spans="1:32" s="41" customFormat="1" ht="44.25" customHeight="1" x14ac:dyDescent="0.25">
      <c r="A28" s="74" t="str">
        <f>2&amp;E28</f>
        <v>2a</v>
      </c>
      <c r="B28" s="153" t="s">
        <v>38</v>
      </c>
      <c r="C28" s="117" t="s">
        <v>39</v>
      </c>
      <c r="D28" s="156" t="s">
        <v>40</v>
      </c>
      <c r="E28" s="54" t="s">
        <v>12</v>
      </c>
      <c r="F28" s="55" t="s">
        <v>41</v>
      </c>
      <c r="G28" s="83" t="s">
        <v>17</v>
      </c>
      <c r="H28" s="84" t="s">
        <v>164</v>
      </c>
      <c r="I28" s="75" t="str">
        <f t="shared" si="2"/>
        <v>Mantenimiento del control</v>
      </c>
      <c r="J28" s="76">
        <f>+IF(G28="Si",40,IF(G28="En proceso",30,20))</f>
        <v>40</v>
      </c>
      <c r="K28" s="76">
        <v>0.23</v>
      </c>
      <c r="L28" s="76">
        <f t="shared" si="3"/>
        <v>40.229999999999997</v>
      </c>
    </row>
    <row r="29" spans="1:32" s="41" customFormat="1" ht="63" x14ac:dyDescent="0.25">
      <c r="A29" s="74" t="str">
        <f t="shared" ref="A29:A31" si="4">2&amp;E29</f>
        <v>2b</v>
      </c>
      <c r="B29" s="154"/>
      <c r="C29" s="118"/>
      <c r="D29" s="132"/>
      <c r="E29" s="56" t="s">
        <v>15</v>
      </c>
      <c r="F29" s="58" t="s">
        <v>42</v>
      </c>
      <c r="G29" s="87" t="s">
        <v>17</v>
      </c>
      <c r="H29" s="88"/>
      <c r="I29" s="79" t="str">
        <f t="shared" si="2"/>
        <v>Mantenimiento del control</v>
      </c>
      <c r="J29" s="76">
        <f>+IF(G29="Si",40,IF(G29="En proceso",30,20))</f>
        <v>40</v>
      </c>
      <c r="K29" s="76">
        <v>0.23400000000000001</v>
      </c>
      <c r="L29" s="76">
        <f t="shared" si="3"/>
        <v>40.234000000000002</v>
      </c>
    </row>
    <row r="30" spans="1:32" s="41" customFormat="1" ht="47.25" x14ac:dyDescent="0.25">
      <c r="A30" s="74" t="str">
        <f t="shared" si="4"/>
        <v>2c</v>
      </c>
      <c r="B30" s="154"/>
      <c r="C30" s="118"/>
      <c r="D30" s="132"/>
      <c r="E30" s="56" t="s">
        <v>18</v>
      </c>
      <c r="F30" s="58" t="s">
        <v>43</v>
      </c>
      <c r="G30" s="87" t="s">
        <v>17</v>
      </c>
      <c r="H30" s="88" t="s">
        <v>165</v>
      </c>
      <c r="I30" s="79" t="str">
        <f t="shared" si="2"/>
        <v>Mantenimiento del control</v>
      </c>
      <c r="J30" s="76">
        <f>+IF(G30="Si",40,IF(G30="En proceso",30,20))</f>
        <v>40</v>
      </c>
      <c r="K30" s="76">
        <v>0.23449999999999999</v>
      </c>
      <c r="L30" s="76">
        <f t="shared" si="3"/>
        <v>40.234499999999997</v>
      </c>
    </row>
    <row r="31" spans="1:32" s="41" customFormat="1" ht="63.75" thickBot="1" x14ac:dyDescent="0.3">
      <c r="A31" s="74" t="str">
        <f t="shared" si="4"/>
        <v>2d</v>
      </c>
      <c r="B31" s="155"/>
      <c r="C31" s="119"/>
      <c r="D31" s="157"/>
      <c r="E31" s="59" t="s">
        <v>20</v>
      </c>
      <c r="F31" s="60" t="s">
        <v>44</v>
      </c>
      <c r="G31" s="89" t="s">
        <v>17</v>
      </c>
      <c r="H31" s="90" t="s">
        <v>166</v>
      </c>
      <c r="I31" s="80" t="str">
        <f t="shared" si="2"/>
        <v>Mantenimiento del control</v>
      </c>
      <c r="J31" s="76">
        <f>+IF(G31="Si",40,IF(G31="En proceso",30,20))</f>
        <v>40</v>
      </c>
      <c r="K31" s="76">
        <v>0.23455999999999999</v>
      </c>
      <c r="L31" s="76">
        <f t="shared" si="3"/>
        <v>40.234560000000002</v>
      </c>
    </row>
    <row r="32" spans="1:32" s="41" customFormat="1" ht="49.5" customHeight="1" x14ac:dyDescent="0.25">
      <c r="A32" s="74" t="str">
        <f>3&amp;E32</f>
        <v>3a</v>
      </c>
      <c r="B32" s="129" t="s">
        <v>45</v>
      </c>
      <c r="C32" s="129" t="s">
        <v>39</v>
      </c>
      <c r="D32" s="130" t="s">
        <v>46</v>
      </c>
      <c r="E32" s="61" t="s">
        <v>12</v>
      </c>
      <c r="F32" s="58" t="s">
        <v>47</v>
      </c>
      <c r="G32" s="87" t="s">
        <v>17</v>
      </c>
      <c r="H32" s="88" t="s">
        <v>167</v>
      </c>
      <c r="I32" s="79" t="str">
        <f t="shared" si="2"/>
        <v>Mantenimiento del control</v>
      </c>
      <c r="J32" s="76">
        <f t="shared" ref="J32:J37" si="5">+IF(G32="Si",40,IF(G32="En proceso",30,20))</f>
        <v>40</v>
      </c>
      <c r="K32" s="81">
        <v>0.234567</v>
      </c>
      <c r="L32" s="76">
        <f t="shared" ref="L32:L37" si="6">+J32+K32</f>
        <v>40.234566999999998</v>
      </c>
      <c r="M32" s="40"/>
      <c r="N32" s="40"/>
      <c r="O32" s="40"/>
      <c r="P32" s="40"/>
      <c r="Q32" s="40"/>
      <c r="R32" s="40"/>
      <c r="S32" s="40"/>
      <c r="T32" s="40"/>
      <c r="U32" s="40"/>
      <c r="V32" s="40"/>
      <c r="W32" s="40"/>
      <c r="X32" s="40"/>
      <c r="Y32" s="40"/>
      <c r="Z32" s="40"/>
      <c r="AA32" s="40"/>
      <c r="AB32" s="40"/>
      <c r="AC32" s="40"/>
      <c r="AD32" s="40"/>
      <c r="AE32" s="40"/>
      <c r="AF32" s="40"/>
    </row>
    <row r="33" spans="1:32" s="41" customFormat="1" ht="49.5" customHeight="1" x14ac:dyDescent="0.25">
      <c r="A33" s="74" t="str">
        <f t="shared" ref="A33:A34" si="7">3&amp;E33</f>
        <v>3b</v>
      </c>
      <c r="B33" s="129"/>
      <c r="C33" s="129"/>
      <c r="D33" s="130"/>
      <c r="E33" s="61" t="s">
        <v>15</v>
      </c>
      <c r="F33" s="58" t="s">
        <v>48</v>
      </c>
      <c r="G33" s="87" t="s">
        <v>17</v>
      </c>
      <c r="H33" s="88" t="s">
        <v>169</v>
      </c>
      <c r="I33" s="79" t="str">
        <f t="shared" si="2"/>
        <v>Mantenimiento del control</v>
      </c>
      <c r="J33" s="76">
        <f t="shared" si="5"/>
        <v>40</v>
      </c>
      <c r="K33" s="81">
        <v>0.23456779999999999</v>
      </c>
      <c r="L33" s="76">
        <f t="shared" si="6"/>
        <v>40.234567800000001</v>
      </c>
      <c r="M33" s="40"/>
      <c r="N33" s="40"/>
      <c r="O33" s="40"/>
      <c r="P33" s="40"/>
      <c r="Q33" s="40"/>
      <c r="R33" s="40"/>
      <c r="S33" s="40"/>
      <c r="T33" s="40"/>
      <c r="U33" s="40"/>
      <c r="V33" s="40"/>
      <c r="W33" s="40"/>
      <c r="X33" s="40"/>
      <c r="Y33" s="40"/>
      <c r="Z33" s="40"/>
      <c r="AA33" s="40"/>
      <c r="AB33" s="40"/>
      <c r="AC33" s="40"/>
      <c r="AD33" s="40"/>
      <c r="AE33" s="40"/>
      <c r="AF33" s="40"/>
    </row>
    <row r="34" spans="1:32" s="41" customFormat="1" ht="66" customHeight="1" thickBot="1" x14ac:dyDescent="0.3">
      <c r="A34" s="74" t="str">
        <f t="shared" si="7"/>
        <v>3c</v>
      </c>
      <c r="B34" s="129"/>
      <c r="C34" s="129"/>
      <c r="D34" s="130"/>
      <c r="E34" s="61" t="s">
        <v>18</v>
      </c>
      <c r="F34" s="58" t="s">
        <v>49</v>
      </c>
      <c r="G34" s="87" t="s">
        <v>17</v>
      </c>
      <c r="H34" s="88" t="s">
        <v>168</v>
      </c>
      <c r="I34" s="79" t="str">
        <f t="shared" si="2"/>
        <v>Mantenimiento del control</v>
      </c>
      <c r="J34" s="76">
        <f t="shared" si="5"/>
        <v>40</v>
      </c>
      <c r="K34" s="81">
        <v>0.23456789</v>
      </c>
      <c r="L34" s="76">
        <f t="shared" si="6"/>
        <v>40.234567890000001</v>
      </c>
      <c r="M34" s="40"/>
      <c r="N34" s="40"/>
      <c r="O34" s="40"/>
      <c r="P34" s="40"/>
      <c r="Q34" s="40"/>
      <c r="R34" s="40"/>
      <c r="S34" s="40"/>
      <c r="T34" s="40"/>
      <c r="U34" s="40"/>
      <c r="V34" s="40"/>
      <c r="W34" s="40"/>
      <c r="X34" s="40"/>
      <c r="Y34" s="40"/>
      <c r="Z34" s="40"/>
      <c r="AA34" s="40"/>
      <c r="AB34" s="40"/>
      <c r="AC34" s="40"/>
      <c r="AD34" s="40"/>
      <c r="AE34" s="40"/>
      <c r="AF34" s="40"/>
    </row>
    <row r="35" spans="1:32" s="41" customFormat="1" ht="60.75" customHeight="1" x14ac:dyDescent="0.25">
      <c r="A35" s="74" t="str">
        <f>4&amp;E35</f>
        <v>4a</v>
      </c>
      <c r="B35" s="131" t="s">
        <v>50</v>
      </c>
      <c r="C35" s="118" t="s">
        <v>39</v>
      </c>
      <c r="D35" s="132" t="s">
        <v>51</v>
      </c>
      <c r="E35" s="54" t="s">
        <v>12</v>
      </c>
      <c r="F35" s="55" t="s">
        <v>52</v>
      </c>
      <c r="G35" s="83" t="s">
        <v>54</v>
      </c>
      <c r="H35" s="84"/>
      <c r="I35" s="75" t="str">
        <f t="shared" si="2"/>
        <v>Oportunidad de mejora</v>
      </c>
      <c r="J35" s="76">
        <f t="shared" si="5"/>
        <v>30</v>
      </c>
      <c r="K35" s="81">
        <v>0.23456789119999999</v>
      </c>
      <c r="L35" s="76">
        <f t="shared" si="6"/>
        <v>30.234567891200001</v>
      </c>
      <c r="M35" s="40"/>
      <c r="N35" s="40"/>
      <c r="O35" s="40"/>
      <c r="P35" s="40"/>
      <c r="Q35" s="40"/>
    </row>
    <row r="36" spans="1:32" s="41" customFormat="1" ht="57.75" customHeight="1" x14ac:dyDescent="0.25">
      <c r="A36" s="74" t="str">
        <f t="shared" ref="A36:A37" si="8">4&amp;E36</f>
        <v>4b</v>
      </c>
      <c r="B36" s="131"/>
      <c r="C36" s="118"/>
      <c r="D36" s="132"/>
      <c r="E36" s="56" t="s">
        <v>15</v>
      </c>
      <c r="F36" s="58" t="s">
        <v>53</v>
      </c>
      <c r="G36" s="87" t="s">
        <v>54</v>
      </c>
      <c r="H36" s="88"/>
      <c r="I36" s="79" t="str">
        <f t="shared" si="2"/>
        <v>Oportunidad de mejora</v>
      </c>
      <c r="J36" s="76">
        <f t="shared" si="5"/>
        <v>30</v>
      </c>
      <c r="K36" s="81">
        <v>0.23456789122999999</v>
      </c>
      <c r="L36" s="76">
        <f t="shared" si="6"/>
        <v>30.23456789123</v>
      </c>
      <c r="M36" s="40"/>
      <c r="N36" s="40"/>
      <c r="O36" s="40"/>
      <c r="P36" s="40"/>
      <c r="Q36" s="40"/>
    </row>
    <row r="37" spans="1:32" s="41" customFormat="1" ht="49.5" customHeight="1" thickBot="1" x14ac:dyDescent="0.3">
      <c r="A37" s="74" t="str">
        <f t="shared" si="8"/>
        <v>4c</v>
      </c>
      <c r="B37" s="131"/>
      <c r="C37" s="118"/>
      <c r="D37" s="132"/>
      <c r="E37" s="56" t="s">
        <v>18</v>
      </c>
      <c r="F37" s="58" t="s">
        <v>55</v>
      </c>
      <c r="G37" s="87" t="s">
        <v>17</v>
      </c>
      <c r="H37" s="88"/>
      <c r="I37" s="79" t="str">
        <f t="shared" si="2"/>
        <v>Mantenimiento del control</v>
      </c>
      <c r="J37" s="76">
        <f t="shared" si="5"/>
        <v>40</v>
      </c>
      <c r="K37" s="81">
        <v>0.23456789123399999</v>
      </c>
      <c r="L37" s="76">
        <f t="shared" si="6"/>
        <v>40.234567891234001</v>
      </c>
      <c r="M37" s="40"/>
      <c r="N37" s="40"/>
      <c r="O37" s="40"/>
      <c r="P37" s="40"/>
      <c r="Q37" s="40"/>
    </row>
    <row r="38" spans="1:32" s="41" customFormat="1" ht="85.5" customHeight="1" x14ac:dyDescent="0.25">
      <c r="A38" s="74" t="str">
        <f>5&amp;E38</f>
        <v>5a</v>
      </c>
      <c r="B38" s="133" t="s">
        <v>56</v>
      </c>
      <c r="C38" s="120" t="s">
        <v>57</v>
      </c>
      <c r="D38" s="136" t="s">
        <v>58</v>
      </c>
      <c r="E38" s="54" t="s">
        <v>12</v>
      </c>
      <c r="F38" s="62" t="s">
        <v>59</v>
      </c>
      <c r="G38" s="91" t="s">
        <v>54</v>
      </c>
      <c r="H38" s="92" t="s">
        <v>169</v>
      </c>
      <c r="I38" s="82" t="str">
        <f t="shared" si="2"/>
        <v>Oportunidad de mejora</v>
      </c>
      <c r="J38" s="76">
        <f>+IF(G38="Si",60,IF(G38="En proceso",50,40))</f>
        <v>50</v>
      </c>
      <c r="K38" s="76">
        <v>0.31</v>
      </c>
      <c r="L38" s="76">
        <f t="shared" si="3"/>
        <v>50.31</v>
      </c>
    </row>
    <row r="39" spans="1:32" s="41" customFormat="1" ht="63" x14ac:dyDescent="0.25">
      <c r="A39" s="74" t="str">
        <f t="shared" ref="A39:A42" si="9">5&amp;E39</f>
        <v>5b</v>
      </c>
      <c r="B39" s="134"/>
      <c r="C39" s="121"/>
      <c r="D39" s="137"/>
      <c r="E39" s="56" t="s">
        <v>15</v>
      </c>
      <c r="F39" s="58" t="s">
        <v>60</v>
      </c>
      <c r="G39" s="87" t="s">
        <v>54</v>
      </c>
      <c r="H39" s="88" t="s">
        <v>169</v>
      </c>
      <c r="I39" s="79" t="str">
        <f t="shared" si="2"/>
        <v>Oportunidad de mejora</v>
      </c>
      <c r="J39" s="76">
        <f>+IF(G39="Si",60,IF(G39="En proceso",50,40))</f>
        <v>50</v>
      </c>
      <c r="K39" s="76">
        <v>0.32300000000000001</v>
      </c>
      <c r="L39" s="76">
        <f t="shared" si="3"/>
        <v>50.323</v>
      </c>
    </row>
    <row r="40" spans="1:32" s="41" customFormat="1" ht="47.25" x14ac:dyDescent="0.25">
      <c r="A40" s="74" t="str">
        <f t="shared" si="9"/>
        <v>5c</v>
      </c>
      <c r="B40" s="134"/>
      <c r="C40" s="121"/>
      <c r="D40" s="137"/>
      <c r="E40" s="56" t="s">
        <v>18</v>
      </c>
      <c r="F40" s="58" t="s">
        <v>61</v>
      </c>
      <c r="G40" s="87" t="s">
        <v>54</v>
      </c>
      <c r="H40" s="88" t="s">
        <v>169</v>
      </c>
      <c r="I40" s="79" t="str">
        <f t="shared" si="2"/>
        <v>Oportunidad de mejora</v>
      </c>
      <c r="J40" s="76">
        <f>+IF(G40="Si",60,IF(G40="En proceso",50,40))</f>
        <v>50</v>
      </c>
      <c r="K40" s="76">
        <v>0.32400000000000001</v>
      </c>
      <c r="L40" s="76">
        <f t="shared" si="3"/>
        <v>50.323999999999998</v>
      </c>
    </row>
    <row r="41" spans="1:32" s="41" customFormat="1" ht="94.5" x14ac:dyDescent="0.25">
      <c r="A41" s="74" t="str">
        <f t="shared" si="9"/>
        <v>5d</v>
      </c>
      <c r="B41" s="134"/>
      <c r="C41" s="121"/>
      <c r="D41" s="137"/>
      <c r="E41" s="56" t="s">
        <v>20</v>
      </c>
      <c r="F41" s="58" t="s">
        <v>62</v>
      </c>
      <c r="G41" s="87" t="s">
        <v>14</v>
      </c>
      <c r="H41" s="88" t="s">
        <v>166</v>
      </c>
      <c r="I41" s="79" t="str">
        <f t="shared" si="2"/>
        <v>Deficiencia de control</v>
      </c>
      <c r="J41" s="76">
        <f>+IF(G41="Si",60,IF(G41="En proceso",50,40))</f>
        <v>40</v>
      </c>
      <c r="K41" s="76">
        <v>0.32500000000000001</v>
      </c>
      <c r="L41" s="76">
        <f t="shared" si="3"/>
        <v>40.325000000000003</v>
      </c>
    </row>
    <row r="42" spans="1:32" s="41" customFormat="1" ht="48" thickBot="1" x14ac:dyDescent="0.3">
      <c r="A42" s="74" t="str">
        <f t="shared" si="9"/>
        <v>5e</v>
      </c>
      <c r="B42" s="135"/>
      <c r="C42" s="122"/>
      <c r="D42" s="138"/>
      <c r="E42" s="59" t="s">
        <v>22</v>
      </c>
      <c r="F42" s="60" t="s">
        <v>63</v>
      </c>
      <c r="G42" s="89" t="s">
        <v>17</v>
      </c>
      <c r="H42" s="90" t="s">
        <v>170</v>
      </c>
      <c r="I42" s="80" t="str">
        <f t="shared" si="2"/>
        <v>Mantenimiento del control</v>
      </c>
      <c r="J42" s="76">
        <f>+IF(G42="Si",60,IF(G42="En proceso",50,40))</f>
        <v>60</v>
      </c>
      <c r="K42" s="76">
        <v>0.32600000000000001</v>
      </c>
      <c r="L42" s="76">
        <f t="shared" si="3"/>
        <v>60.326000000000001</v>
      </c>
    </row>
    <row r="43" spans="1:32" s="41" customFormat="1" ht="40.5" customHeight="1" x14ac:dyDescent="0.25">
      <c r="A43" s="74" t="str">
        <f>6&amp;E43</f>
        <v>6a</v>
      </c>
      <c r="B43" s="143" t="s">
        <v>64</v>
      </c>
      <c r="C43" s="123" t="s">
        <v>65</v>
      </c>
      <c r="D43" s="140" t="s">
        <v>66</v>
      </c>
      <c r="E43" s="54" t="s">
        <v>12</v>
      </c>
      <c r="F43" s="55" t="s">
        <v>67</v>
      </c>
      <c r="G43" s="83" t="s">
        <v>17</v>
      </c>
      <c r="H43" s="84" t="s">
        <v>171</v>
      </c>
      <c r="I43" s="75" t="str">
        <f t="shared" si="2"/>
        <v>Mantenimiento del control</v>
      </c>
      <c r="J43" s="76">
        <f t="shared" ref="J43:J49" si="10">+IF(G43="Si",80,IF(G43="En proceso",70,60))</f>
        <v>80</v>
      </c>
      <c r="K43" s="76">
        <v>0.41199999999999998</v>
      </c>
      <c r="L43" s="76">
        <f t="shared" si="3"/>
        <v>80.412000000000006</v>
      </c>
    </row>
    <row r="44" spans="1:32" s="41" customFormat="1" ht="33" customHeight="1" x14ac:dyDescent="0.25">
      <c r="A44" s="74" t="str">
        <f t="shared" ref="A44:A49" si="11">6&amp;E44</f>
        <v>6b</v>
      </c>
      <c r="B44" s="144"/>
      <c r="C44" s="124"/>
      <c r="D44" s="141"/>
      <c r="E44" s="56" t="s">
        <v>15</v>
      </c>
      <c r="F44" s="58" t="s">
        <v>68</v>
      </c>
      <c r="G44" s="87" t="s">
        <v>17</v>
      </c>
      <c r="H44" s="88" t="s">
        <v>172</v>
      </c>
      <c r="I44" s="79" t="str">
        <f t="shared" si="2"/>
        <v>Mantenimiento del control</v>
      </c>
      <c r="J44" s="76">
        <f t="shared" si="10"/>
        <v>80</v>
      </c>
      <c r="K44" s="76">
        <v>0.4123</v>
      </c>
      <c r="L44" s="76">
        <f t="shared" si="3"/>
        <v>80.412300000000002</v>
      </c>
    </row>
    <row r="45" spans="1:32" s="41" customFormat="1" ht="47.25" x14ac:dyDescent="0.25">
      <c r="A45" s="74" t="str">
        <f t="shared" si="11"/>
        <v>6c</v>
      </c>
      <c r="B45" s="144"/>
      <c r="C45" s="124"/>
      <c r="D45" s="141"/>
      <c r="E45" s="56" t="s">
        <v>18</v>
      </c>
      <c r="F45" s="58" t="s">
        <v>69</v>
      </c>
      <c r="G45" s="87" t="s">
        <v>17</v>
      </c>
      <c r="H45" s="88" t="s">
        <v>173</v>
      </c>
      <c r="I45" s="79" t="str">
        <f t="shared" si="2"/>
        <v>Mantenimiento del control</v>
      </c>
      <c r="J45" s="76">
        <f t="shared" si="10"/>
        <v>80</v>
      </c>
      <c r="K45" s="76">
        <v>0.41233999999999998</v>
      </c>
      <c r="L45" s="76">
        <f t="shared" si="3"/>
        <v>80.41234</v>
      </c>
    </row>
    <row r="46" spans="1:32" s="41" customFormat="1" ht="31.5" x14ac:dyDescent="0.25">
      <c r="A46" s="74" t="str">
        <f t="shared" si="11"/>
        <v>6d</v>
      </c>
      <c r="B46" s="144"/>
      <c r="C46" s="124"/>
      <c r="D46" s="141"/>
      <c r="E46" s="56" t="s">
        <v>20</v>
      </c>
      <c r="F46" s="58" t="s">
        <v>70</v>
      </c>
      <c r="G46" s="87" t="s">
        <v>17</v>
      </c>
      <c r="H46" s="88"/>
      <c r="I46" s="79" t="str">
        <f t="shared" si="2"/>
        <v>Mantenimiento del control</v>
      </c>
      <c r="J46" s="76">
        <f t="shared" si="10"/>
        <v>80</v>
      </c>
      <c r="K46" s="76">
        <v>0.41234500000000002</v>
      </c>
      <c r="L46" s="76">
        <f t="shared" si="3"/>
        <v>80.412345000000002</v>
      </c>
    </row>
    <row r="47" spans="1:32" s="41" customFormat="1" ht="63" x14ac:dyDescent="0.25">
      <c r="A47" s="74" t="str">
        <f t="shared" si="11"/>
        <v>6e</v>
      </c>
      <c r="B47" s="144"/>
      <c r="C47" s="124"/>
      <c r="D47" s="141"/>
      <c r="E47" s="56" t="s">
        <v>22</v>
      </c>
      <c r="F47" s="58" t="s">
        <v>71</v>
      </c>
      <c r="G47" s="87" t="s">
        <v>17</v>
      </c>
      <c r="H47" s="88" t="s">
        <v>172</v>
      </c>
      <c r="I47" s="79" t="str">
        <f t="shared" si="2"/>
        <v>Mantenimiento del control</v>
      </c>
      <c r="J47" s="76">
        <f t="shared" si="10"/>
        <v>80</v>
      </c>
      <c r="K47" s="76">
        <v>0.41234559999999998</v>
      </c>
      <c r="L47" s="76">
        <f t="shared" si="3"/>
        <v>80.412345599999995</v>
      </c>
    </row>
    <row r="48" spans="1:32" s="41" customFormat="1" ht="63" x14ac:dyDescent="0.25">
      <c r="A48" s="74" t="str">
        <f t="shared" si="11"/>
        <v>6f</v>
      </c>
      <c r="B48" s="144"/>
      <c r="C48" s="124"/>
      <c r="D48" s="141"/>
      <c r="E48" s="56" t="s">
        <v>24</v>
      </c>
      <c r="F48" s="58" t="s">
        <v>72</v>
      </c>
      <c r="G48" s="87" t="s">
        <v>17</v>
      </c>
      <c r="H48" s="88"/>
      <c r="I48" s="79" t="str">
        <f t="shared" si="2"/>
        <v>Mantenimiento del control</v>
      </c>
      <c r="J48" s="76">
        <f t="shared" si="10"/>
        <v>80</v>
      </c>
      <c r="K48" s="76">
        <v>0.41234567</v>
      </c>
      <c r="L48" s="76">
        <f t="shared" si="3"/>
        <v>80.412345669999993</v>
      </c>
    </row>
    <row r="49" spans="1:17" s="41" customFormat="1" ht="48" thickBot="1" x14ac:dyDescent="0.3">
      <c r="A49" s="74" t="str">
        <f t="shared" si="11"/>
        <v>6g</v>
      </c>
      <c r="B49" s="145"/>
      <c r="C49" s="125"/>
      <c r="D49" s="142"/>
      <c r="E49" s="59" t="s">
        <v>26</v>
      </c>
      <c r="F49" s="60" t="s">
        <v>73</v>
      </c>
      <c r="G49" s="89" t="s">
        <v>54</v>
      </c>
      <c r="H49" s="90" t="s">
        <v>174</v>
      </c>
      <c r="I49" s="80" t="str">
        <f t="shared" si="2"/>
        <v>Oportunidad de mejora</v>
      </c>
      <c r="J49" s="76">
        <f t="shared" si="10"/>
        <v>70</v>
      </c>
      <c r="K49" s="76">
        <v>0.41234567799999999</v>
      </c>
      <c r="L49" s="76">
        <f t="shared" si="3"/>
        <v>70.412345677999994</v>
      </c>
    </row>
    <row r="50" spans="1:17" s="41" customFormat="1" ht="54.75" customHeight="1" x14ac:dyDescent="0.25">
      <c r="A50" s="74" t="str">
        <f>7&amp;E50</f>
        <v>7a</v>
      </c>
      <c r="B50" s="111" t="s">
        <v>74</v>
      </c>
      <c r="C50" s="126" t="s">
        <v>75</v>
      </c>
      <c r="D50" s="108" t="s">
        <v>76</v>
      </c>
      <c r="E50" s="54" t="s">
        <v>12</v>
      </c>
      <c r="F50" s="55" t="s">
        <v>77</v>
      </c>
      <c r="G50" s="83" t="s">
        <v>17</v>
      </c>
      <c r="H50" s="84" t="s">
        <v>172</v>
      </c>
      <c r="I50" s="75" t="str">
        <f t="shared" si="2"/>
        <v>Mantenimiento del control</v>
      </c>
      <c r="J50" s="76">
        <f>+IF(G50="Si",120,IF(G50="En proceso",100,80))</f>
        <v>120</v>
      </c>
      <c r="K50" s="76">
        <v>0.85099999999999998</v>
      </c>
      <c r="L50" s="76">
        <f t="shared" si="3"/>
        <v>120.851</v>
      </c>
    </row>
    <row r="51" spans="1:17" s="41" customFormat="1" ht="94.5" x14ac:dyDescent="0.25">
      <c r="A51" s="74" t="str">
        <f t="shared" ref="A51:A53" si="12">7&amp;E51</f>
        <v>7d</v>
      </c>
      <c r="B51" s="112"/>
      <c r="C51" s="127"/>
      <c r="D51" s="109"/>
      <c r="E51" s="56" t="s">
        <v>20</v>
      </c>
      <c r="F51" s="58" t="s">
        <v>78</v>
      </c>
      <c r="G51" s="87" t="s">
        <v>54</v>
      </c>
      <c r="H51" s="88"/>
      <c r="I51" s="79" t="str">
        <f t="shared" si="2"/>
        <v>Oportunidad de mejora</v>
      </c>
      <c r="J51" s="76">
        <f t="shared" ref="J51:J59" si="13">+IF(G51="Si",120,IF(G51="En proceso",100,80))</f>
        <v>100</v>
      </c>
      <c r="K51" s="76">
        <v>0.85119999999999996</v>
      </c>
      <c r="L51" s="76">
        <f t="shared" si="3"/>
        <v>100.85120000000001</v>
      </c>
    </row>
    <row r="52" spans="1:17" s="41" customFormat="1" ht="47.25" x14ac:dyDescent="0.25">
      <c r="A52" s="74" t="str">
        <f t="shared" si="12"/>
        <v>7f</v>
      </c>
      <c r="B52" s="112"/>
      <c r="C52" s="127"/>
      <c r="D52" s="109"/>
      <c r="E52" s="56" t="s">
        <v>24</v>
      </c>
      <c r="F52" s="58" t="s">
        <v>79</v>
      </c>
      <c r="G52" s="87" t="s">
        <v>17</v>
      </c>
      <c r="H52" s="88"/>
      <c r="I52" s="79" t="str">
        <f t="shared" si="2"/>
        <v>Mantenimiento del control</v>
      </c>
      <c r="J52" s="76">
        <f t="shared" si="13"/>
        <v>120</v>
      </c>
      <c r="K52" s="76">
        <v>0.85123000000000004</v>
      </c>
      <c r="L52" s="76">
        <f t="shared" si="3"/>
        <v>120.85123</v>
      </c>
    </row>
    <row r="53" spans="1:17" s="41" customFormat="1" ht="50.25" thickBot="1" x14ac:dyDescent="0.3">
      <c r="A53" s="74" t="str">
        <f t="shared" si="12"/>
        <v>7g</v>
      </c>
      <c r="B53" s="113"/>
      <c r="C53" s="128"/>
      <c r="D53" s="146"/>
      <c r="E53" s="59" t="s">
        <v>26</v>
      </c>
      <c r="F53" s="60" t="s">
        <v>80</v>
      </c>
      <c r="G53" s="89" t="s">
        <v>17</v>
      </c>
      <c r="H53" s="90" t="s">
        <v>172</v>
      </c>
      <c r="I53" s="80" t="str">
        <f t="shared" si="2"/>
        <v>Mantenimiento del control</v>
      </c>
      <c r="J53" s="76">
        <f t="shared" si="13"/>
        <v>120</v>
      </c>
      <c r="K53" s="76">
        <v>0.85123400000000005</v>
      </c>
      <c r="L53" s="76">
        <f t="shared" si="3"/>
        <v>120.85123400000001</v>
      </c>
    </row>
    <row r="54" spans="1:17" s="41" customFormat="1" ht="102.75" customHeight="1" thickBot="1" x14ac:dyDescent="0.3">
      <c r="A54" s="74" t="str">
        <f>8&amp;E54</f>
        <v>8h</v>
      </c>
      <c r="B54" s="106" t="s">
        <v>81</v>
      </c>
      <c r="C54" s="107" t="s">
        <v>75</v>
      </c>
      <c r="D54" s="49" t="s">
        <v>82</v>
      </c>
      <c r="E54" s="54" t="s">
        <v>28</v>
      </c>
      <c r="F54" s="55" t="s">
        <v>83</v>
      </c>
      <c r="G54" s="83" t="s">
        <v>14</v>
      </c>
      <c r="H54" s="84"/>
      <c r="I54" s="75" t="str">
        <f t="shared" si="2"/>
        <v>Deficiencia de control</v>
      </c>
      <c r="J54" s="76">
        <f t="shared" si="13"/>
        <v>80</v>
      </c>
      <c r="K54" s="76">
        <v>0.85123450000000001</v>
      </c>
      <c r="L54" s="76">
        <f t="shared" si="3"/>
        <v>80.851234500000004</v>
      </c>
    </row>
    <row r="55" spans="1:17" s="41" customFormat="1" ht="54.75" customHeight="1" x14ac:dyDescent="0.25">
      <c r="A55" s="74" t="str">
        <f>9&amp;E55</f>
        <v>9a</v>
      </c>
      <c r="B55" s="111" t="s">
        <v>84</v>
      </c>
      <c r="C55" s="126" t="s">
        <v>75</v>
      </c>
      <c r="D55" s="108" t="s">
        <v>85</v>
      </c>
      <c r="E55" s="54" t="s">
        <v>12</v>
      </c>
      <c r="F55" s="55" t="s">
        <v>86</v>
      </c>
      <c r="G55" s="83" t="s">
        <v>17</v>
      </c>
      <c r="H55" s="84"/>
      <c r="I55" s="75" t="str">
        <f t="shared" si="2"/>
        <v>Mantenimiento del control</v>
      </c>
      <c r="J55" s="76">
        <f t="shared" si="13"/>
        <v>120</v>
      </c>
      <c r="K55" s="81">
        <v>0.85123455999999997</v>
      </c>
      <c r="L55" s="76">
        <f t="shared" si="3"/>
        <v>120.85123455999999</v>
      </c>
      <c r="M55" s="40"/>
      <c r="N55" s="40"/>
      <c r="O55" s="40"/>
      <c r="P55" s="40"/>
      <c r="Q55" s="40"/>
    </row>
    <row r="56" spans="1:17" s="41" customFormat="1" ht="55.5" customHeight="1" x14ac:dyDescent="0.25">
      <c r="A56" s="74" t="str">
        <f t="shared" ref="A56:A59" si="14">9&amp;E56</f>
        <v>9b</v>
      </c>
      <c r="B56" s="112"/>
      <c r="C56" s="127"/>
      <c r="D56" s="109"/>
      <c r="E56" s="56" t="s">
        <v>15</v>
      </c>
      <c r="F56" s="58" t="s">
        <v>87</v>
      </c>
      <c r="G56" s="87" t="s">
        <v>54</v>
      </c>
      <c r="H56" s="88"/>
      <c r="I56" s="79" t="str">
        <f t="shared" si="2"/>
        <v>Oportunidad de mejora</v>
      </c>
      <c r="J56" s="76">
        <f t="shared" si="13"/>
        <v>100</v>
      </c>
      <c r="K56" s="81">
        <v>0.851234567</v>
      </c>
      <c r="L56" s="76">
        <f t="shared" si="3"/>
        <v>100.85123456700001</v>
      </c>
      <c r="M56" s="40"/>
      <c r="N56" s="40"/>
      <c r="O56" s="40"/>
      <c r="P56" s="40"/>
      <c r="Q56" s="40"/>
    </row>
    <row r="57" spans="1:17" s="41" customFormat="1" ht="77.25" customHeight="1" x14ac:dyDescent="0.25">
      <c r="A57" s="74" t="str">
        <f t="shared" si="14"/>
        <v>9c</v>
      </c>
      <c r="B57" s="112"/>
      <c r="C57" s="127"/>
      <c r="D57" s="109"/>
      <c r="E57" s="56" t="s">
        <v>18</v>
      </c>
      <c r="F57" s="58" t="s">
        <v>88</v>
      </c>
      <c r="G57" s="87" t="s">
        <v>54</v>
      </c>
      <c r="H57" s="88"/>
      <c r="I57" s="79" t="str">
        <f t="shared" si="2"/>
        <v>Oportunidad de mejora</v>
      </c>
      <c r="J57" s="76">
        <f t="shared" si="13"/>
        <v>100</v>
      </c>
      <c r="K57" s="81">
        <v>0.85123456779999995</v>
      </c>
      <c r="L57" s="76">
        <f t="shared" si="3"/>
        <v>100.85123456780001</v>
      </c>
      <c r="M57" s="40"/>
      <c r="N57" s="40"/>
      <c r="O57" s="40"/>
      <c r="P57" s="40"/>
      <c r="Q57" s="40"/>
    </row>
    <row r="58" spans="1:17" s="41" customFormat="1" ht="77.25" customHeight="1" x14ac:dyDescent="0.25">
      <c r="A58" s="74" t="str">
        <f t="shared" si="14"/>
        <v>9d</v>
      </c>
      <c r="B58" s="112"/>
      <c r="C58" s="127"/>
      <c r="D58" s="109"/>
      <c r="E58" s="56" t="s">
        <v>20</v>
      </c>
      <c r="F58" s="58" t="s">
        <v>89</v>
      </c>
      <c r="G58" s="87" t="s">
        <v>54</v>
      </c>
      <c r="H58" s="88"/>
      <c r="I58" s="79" t="str">
        <f t="shared" si="2"/>
        <v>Oportunidad de mejora</v>
      </c>
      <c r="J58" s="76">
        <f t="shared" si="13"/>
        <v>100</v>
      </c>
      <c r="K58" s="81">
        <v>0.85123456788999996</v>
      </c>
      <c r="L58" s="76">
        <f t="shared" si="3"/>
        <v>100.85123456789</v>
      </c>
      <c r="M58" s="40"/>
      <c r="N58" s="40"/>
      <c r="O58" s="40"/>
      <c r="P58" s="40"/>
      <c r="Q58" s="40"/>
    </row>
    <row r="59" spans="1:17" s="41" customFormat="1" ht="77.25" customHeight="1" thickBot="1" x14ac:dyDescent="0.3">
      <c r="A59" s="74" t="str">
        <f t="shared" si="14"/>
        <v>9e</v>
      </c>
      <c r="B59" s="113"/>
      <c r="C59" s="127"/>
      <c r="D59" s="110"/>
      <c r="E59" s="59" t="s">
        <v>22</v>
      </c>
      <c r="F59" s="60" t="s">
        <v>90</v>
      </c>
      <c r="G59" s="89" t="s">
        <v>54</v>
      </c>
      <c r="H59" s="90"/>
      <c r="I59" s="80" t="str">
        <f t="shared" si="2"/>
        <v>Oportunidad de mejora</v>
      </c>
      <c r="J59" s="76">
        <f t="shared" si="13"/>
        <v>100</v>
      </c>
      <c r="K59" s="81">
        <v>0.85123456789100005</v>
      </c>
      <c r="L59" s="76">
        <f t="shared" si="3"/>
        <v>100.851234567891</v>
      </c>
      <c r="M59" s="40"/>
      <c r="N59" s="40"/>
      <c r="O59" s="40"/>
      <c r="P59" s="40"/>
      <c r="Q59" s="40"/>
    </row>
  </sheetData>
  <sheetProtection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C1" zoomScale="64" zoomScaleNormal="64" workbookViewId="0">
      <selection activeCell="F6" sqref="F6:M6"/>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162" t="s">
        <v>92</v>
      </c>
      <c r="F4" s="164" t="s">
        <v>175</v>
      </c>
      <c r="G4" s="164"/>
      <c r="H4" s="164"/>
      <c r="I4" s="164"/>
      <c r="J4" s="164"/>
      <c r="K4" s="164"/>
      <c r="L4" s="164"/>
      <c r="M4" s="164"/>
      <c r="N4" s="7"/>
      <c r="O4" s="7"/>
      <c r="P4" s="8"/>
      <c r="Q4" s="1"/>
    </row>
    <row r="5" spans="1:17" ht="45.75" customHeight="1" x14ac:dyDescent="0.3">
      <c r="A5" s="1"/>
      <c r="B5" s="5"/>
      <c r="C5" s="6"/>
      <c r="D5" s="6"/>
      <c r="E5" s="163"/>
      <c r="F5" s="164"/>
      <c r="G5" s="164"/>
      <c r="H5" s="164"/>
      <c r="I5" s="164"/>
      <c r="J5" s="164"/>
      <c r="K5" s="164"/>
      <c r="L5" s="164"/>
      <c r="M5" s="164"/>
      <c r="N5" s="7"/>
      <c r="O5" s="7"/>
      <c r="P5" s="8"/>
      <c r="Q5" s="1"/>
    </row>
    <row r="6" spans="1:17" ht="66.75" customHeight="1" x14ac:dyDescent="0.3">
      <c r="A6" s="1"/>
      <c r="B6" s="5"/>
      <c r="C6" s="6"/>
      <c r="D6" s="6"/>
      <c r="E6" s="69" t="s">
        <v>93</v>
      </c>
      <c r="F6" s="165" t="s">
        <v>176</v>
      </c>
      <c r="G6" s="166"/>
      <c r="H6" s="166"/>
      <c r="I6" s="166"/>
      <c r="J6" s="166"/>
      <c r="K6" s="166"/>
      <c r="L6" s="166"/>
      <c r="M6" s="167"/>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168" t="s">
        <v>94</v>
      </c>
      <c r="J8" s="169"/>
      <c r="K8" s="170"/>
      <c r="L8" s="6"/>
      <c r="M8" s="93">
        <f>+AVERAGE(G26,G28,G30,G32,G34)</f>
        <v>0.77904761904761899</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171" t="s">
        <v>95</v>
      </c>
      <c r="D18" s="172"/>
      <c r="E18" s="172"/>
      <c r="F18" s="172"/>
      <c r="G18" s="172"/>
      <c r="H18" s="172"/>
      <c r="I18" s="172"/>
      <c r="J18" s="172"/>
      <c r="K18" s="172"/>
      <c r="L18" s="172"/>
      <c r="M18" s="173"/>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174" t="s">
        <v>96</v>
      </c>
      <c r="D20" s="175"/>
      <c r="E20" s="96" t="s">
        <v>54</v>
      </c>
      <c r="F20" s="176"/>
      <c r="G20" s="176"/>
      <c r="H20" s="176"/>
      <c r="I20" s="176"/>
      <c r="J20" s="176"/>
      <c r="K20" s="176"/>
      <c r="L20" s="176"/>
      <c r="M20" s="177"/>
      <c r="N20" s="15"/>
      <c r="O20" s="15"/>
      <c r="P20" s="8"/>
      <c r="Q20" s="1"/>
    </row>
    <row r="21" spans="1:17" ht="126.75" customHeight="1" x14ac:dyDescent="0.25">
      <c r="A21" s="1"/>
      <c r="B21" s="5"/>
      <c r="C21" s="158" t="s">
        <v>97</v>
      </c>
      <c r="D21" s="159"/>
      <c r="E21" s="97" t="s">
        <v>14</v>
      </c>
      <c r="F21" s="178"/>
      <c r="G21" s="178"/>
      <c r="H21" s="178"/>
      <c r="I21" s="178"/>
      <c r="J21" s="178"/>
      <c r="K21" s="178"/>
      <c r="L21" s="178"/>
      <c r="M21" s="179"/>
      <c r="N21" s="15"/>
      <c r="O21" s="15"/>
      <c r="P21" s="8"/>
      <c r="Q21" s="1"/>
    </row>
    <row r="22" spans="1:17" ht="151.5" customHeight="1" thickBot="1" x14ac:dyDescent="0.3">
      <c r="A22" s="1"/>
      <c r="B22" s="5"/>
      <c r="C22" s="160" t="s">
        <v>98</v>
      </c>
      <c r="D22" s="161"/>
      <c r="E22" s="98" t="s">
        <v>14</v>
      </c>
      <c r="F22" s="180"/>
      <c r="G22" s="180"/>
      <c r="H22" s="180"/>
      <c r="I22" s="180"/>
      <c r="J22" s="180"/>
      <c r="K22" s="180"/>
      <c r="L22" s="180"/>
      <c r="M22" s="181"/>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72" t="s">
        <v>99</v>
      </c>
      <c r="D24" s="73"/>
      <c r="E24" s="72" t="s">
        <v>100</v>
      </c>
      <c r="F24" s="73"/>
      <c r="G24" s="72" t="s">
        <v>101</v>
      </c>
      <c r="H24" s="73"/>
      <c r="I24" s="185" t="s">
        <v>102</v>
      </c>
      <c r="J24" s="185"/>
      <c r="K24" s="185"/>
      <c r="L24" s="185"/>
      <c r="M24" s="185"/>
      <c r="N24" s="33"/>
      <c r="O24" s="33"/>
      <c r="P24" s="8"/>
      <c r="Q24" s="17"/>
    </row>
    <row r="25" spans="1:17" ht="13.5" customHeight="1" thickBot="1" x14ac:dyDescent="0.3">
      <c r="A25" s="1"/>
      <c r="B25" s="5"/>
      <c r="C25" s="32"/>
      <c r="D25" s="18"/>
      <c r="E25" s="18"/>
      <c r="F25" s="18"/>
      <c r="G25" s="18"/>
      <c r="H25" s="18"/>
      <c r="I25" s="189"/>
      <c r="J25" s="189"/>
      <c r="K25" s="189"/>
      <c r="L25" s="189"/>
      <c r="M25" s="189"/>
      <c r="N25" s="34"/>
      <c r="O25" s="34"/>
      <c r="P25" s="8"/>
      <c r="Q25" s="1"/>
    </row>
    <row r="26" spans="1:17" ht="155.25" customHeight="1" thickBot="1" x14ac:dyDescent="0.3">
      <c r="A26" s="1"/>
      <c r="B26" s="5"/>
      <c r="C26" s="63" t="s">
        <v>10</v>
      </c>
      <c r="D26" s="19"/>
      <c r="E26" s="94" t="str">
        <f>+IF(Hoja1!K2&gt;=0.5,"Si","No")</f>
        <v>Si</v>
      </c>
      <c r="F26" s="20"/>
      <c r="G26" s="95">
        <f>+Hoja1!K2</f>
        <v>0.91666666666666663</v>
      </c>
      <c r="H26" s="20"/>
      <c r="I26" s="186"/>
      <c r="J26" s="187"/>
      <c r="K26" s="187"/>
      <c r="L26" s="187"/>
      <c r="M26" s="188"/>
      <c r="N26" s="35"/>
      <c r="O26" s="36"/>
      <c r="P26" s="21"/>
      <c r="Q26" s="22"/>
    </row>
    <row r="27" spans="1:17" ht="27" thickBot="1" x14ac:dyDescent="0.45">
      <c r="A27" s="1"/>
      <c r="B27" s="5"/>
      <c r="C27" s="64"/>
      <c r="D27" s="23"/>
      <c r="E27" s="71"/>
      <c r="F27" s="18"/>
      <c r="G27" s="24"/>
      <c r="H27" s="18"/>
      <c r="I27" s="190"/>
      <c r="J27" s="190"/>
      <c r="K27" s="190"/>
      <c r="L27" s="190"/>
      <c r="M27" s="190"/>
      <c r="N27" s="37"/>
      <c r="O27" s="37"/>
      <c r="P27" s="8"/>
      <c r="Q27" s="1"/>
    </row>
    <row r="28" spans="1:17" ht="111.75" customHeight="1" thickBot="1" x14ac:dyDescent="0.3">
      <c r="A28" s="1"/>
      <c r="B28" s="5"/>
      <c r="C28" s="65" t="s">
        <v>103</v>
      </c>
      <c r="D28" s="19"/>
      <c r="E28" s="94" t="str">
        <f>+IF(Hoja1!K14&gt;=0.5,"Si","No")</f>
        <v>Si</v>
      </c>
      <c r="F28" s="18"/>
      <c r="G28" s="95">
        <f>+Hoja1!K14</f>
        <v>0.9</v>
      </c>
      <c r="H28" s="18"/>
      <c r="I28" s="182"/>
      <c r="J28" s="183"/>
      <c r="K28" s="183"/>
      <c r="L28" s="183"/>
      <c r="M28" s="184"/>
      <c r="N28" s="35"/>
      <c r="O28" s="35"/>
      <c r="P28" s="8"/>
      <c r="Q28" s="1"/>
    </row>
    <row r="29" spans="1:17" ht="27" thickBot="1" x14ac:dyDescent="0.45">
      <c r="A29" s="1"/>
      <c r="B29" s="5"/>
      <c r="C29" s="64"/>
      <c r="D29" s="23"/>
      <c r="E29" s="71"/>
      <c r="F29" s="18"/>
      <c r="G29" s="24"/>
      <c r="H29" s="18"/>
      <c r="I29" s="190"/>
      <c r="J29" s="190"/>
      <c r="K29" s="190"/>
      <c r="L29" s="190"/>
      <c r="M29" s="190"/>
      <c r="N29" s="37"/>
      <c r="O29" s="37"/>
      <c r="P29" s="8"/>
      <c r="Q29" s="1"/>
    </row>
    <row r="30" spans="1:17" ht="123" customHeight="1" thickBot="1" x14ac:dyDescent="0.3">
      <c r="A30" s="1"/>
      <c r="B30" s="5"/>
      <c r="C30" s="66" t="s">
        <v>104</v>
      </c>
      <c r="D30" s="19"/>
      <c r="E30" s="94" t="str">
        <f>+IF(Hoja1!K24&gt;=0.5,"Si","No")</f>
        <v>Si</v>
      </c>
      <c r="F30" s="18"/>
      <c r="G30" s="95">
        <f>+Hoja1!K24</f>
        <v>0.5</v>
      </c>
      <c r="H30" s="18"/>
      <c r="I30" s="182"/>
      <c r="J30" s="183"/>
      <c r="K30" s="183"/>
      <c r="L30" s="183"/>
      <c r="M30" s="184"/>
      <c r="N30" s="35"/>
      <c r="O30" s="35"/>
      <c r="P30" s="8"/>
      <c r="Q30" s="1"/>
    </row>
    <row r="31" spans="1:17" ht="27" thickBot="1" x14ac:dyDescent="0.45">
      <c r="A31" s="1"/>
      <c r="B31" s="5"/>
      <c r="C31" s="64"/>
      <c r="D31" s="23"/>
      <c r="E31" s="71"/>
      <c r="F31" s="18"/>
      <c r="G31" s="24"/>
      <c r="H31" s="18"/>
      <c r="I31" s="190"/>
      <c r="J31" s="190"/>
      <c r="K31" s="190"/>
      <c r="L31" s="190"/>
      <c r="M31" s="190"/>
      <c r="N31" s="37"/>
      <c r="O31" s="37"/>
      <c r="P31" s="8"/>
      <c r="Q31" s="1"/>
    </row>
    <row r="32" spans="1:17" ht="171" customHeight="1" thickBot="1" x14ac:dyDescent="0.3">
      <c r="A32" s="1"/>
      <c r="B32" s="5"/>
      <c r="C32" s="67" t="s">
        <v>65</v>
      </c>
      <c r="D32" s="19"/>
      <c r="E32" s="94" t="str">
        <f>+IF(Hoja1!K29&gt;=0.5,"Si","No")</f>
        <v>Si</v>
      </c>
      <c r="F32" s="18"/>
      <c r="G32" s="95">
        <f>+Hoja1!K29</f>
        <v>0.9285714285714286</v>
      </c>
      <c r="H32" s="18"/>
      <c r="I32" s="182"/>
      <c r="J32" s="183"/>
      <c r="K32" s="183"/>
      <c r="L32" s="183"/>
      <c r="M32" s="184"/>
      <c r="N32" s="35"/>
      <c r="O32" s="35"/>
      <c r="P32" s="8"/>
      <c r="Q32" s="1"/>
    </row>
    <row r="33" spans="1:17" ht="27" thickBot="1" x14ac:dyDescent="0.45">
      <c r="A33" s="1"/>
      <c r="B33" s="5"/>
      <c r="C33" s="64"/>
      <c r="D33" s="23"/>
      <c r="E33" s="71"/>
      <c r="F33" s="18"/>
      <c r="G33" s="24"/>
      <c r="H33" s="18"/>
      <c r="I33" s="190"/>
      <c r="J33" s="190"/>
      <c r="K33" s="190"/>
      <c r="L33" s="190"/>
      <c r="M33" s="190"/>
      <c r="N33" s="37"/>
      <c r="O33" s="37"/>
      <c r="P33" s="8"/>
      <c r="Q33" s="1"/>
    </row>
    <row r="34" spans="1:17" ht="164.25" customHeight="1" thickBot="1" x14ac:dyDescent="0.3">
      <c r="A34" s="1"/>
      <c r="B34" s="5"/>
      <c r="C34" s="68" t="s">
        <v>105</v>
      </c>
      <c r="D34" s="19"/>
      <c r="E34" s="70" t="str">
        <f>+IF(Hoja1!K36&gt;=0.5,"Si","No")</f>
        <v>Si</v>
      </c>
      <c r="F34" s="18"/>
      <c r="G34" s="95">
        <f>+Hoja1!K36</f>
        <v>0.65</v>
      </c>
      <c r="H34" s="18"/>
      <c r="I34" s="182"/>
      <c r="J34" s="183"/>
      <c r="K34" s="183"/>
      <c r="L34" s="183"/>
      <c r="M34" s="184"/>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99" t="s">
        <v>3</v>
      </c>
      <c r="B1" s="99" t="s">
        <v>0</v>
      </c>
      <c r="C1" s="100" t="s">
        <v>1</v>
      </c>
      <c r="D1" s="101" t="s">
        <v>4</v>
      </c>
      <c r="E1" s="101" t="s">
        <v>5</v>
      </c>
      <c r="F1" s="101" t="s">
        <v>106</v>
      </c>
      <c r="G1" s="102" t="s">
        <v>107</v>
      </c>
      <c r="H1" s="102" t="s">
        <v>108</v>
      </c>
      <c r="I1" s="102" t="s">
        <v>91</v>
      </c>
      <c r="J1" s="102" t="s">
        <v>109</v>
      </c>
      <c r="K1" s="102" t="s">
        <v>110</v>
      </c>
    </row>
    <row r="2" spans="1:11" x14ac:dyDescent="0.25">
      <c r="A2" s="103" t="s">
        <v>111</v>
      </c>
      <c r="B2" s="103" t="str">
        <f>+VLOOKUP(A2,'Estado SCI'!$A$16:$C$59,3,0)</f>
        <v>AMBIENTE DE CONTROL</v>
      </c>
      <c r="C2" s="103" t="s">
        <v>11</v>
      </c>
      <c r="D2" s="103" t="s">
        <v>12</v>
      </c>
      <c r="E2" s="103" t="s">
        <v>13</v>
      </c>
      <c r="F2" s="103" t="str">
        <f>+VLOOKUP(A2,'Estado SCI'!$A$16:$I$59,9,0)</f>
        <v>Deficiencia de control</v>
      </c>
      <c r="G2" s="103">
        <f>+VLOOKUP(A2,'Estado SCI'!$A$16:$L$59,12,0)</f>
        <v>0.123</v>
      </c>
      <c r="H2" s="103">
        <f t="shared" ref="H2:H45" si="0">+_xlfn.RANK.EQ(G2,$G$2:$G$45,1)</f>
        <v>1</v>
      </c>
      <c r="I2" s="103" t="str">
        <f>+IF(VLOOKUP(A2,'Estado SCI'!$A$16:$G$59,7,0)="","",VLOOKUP(A2,'Estado SCI'!$A$16:$G$59,7,0))</f>
        <v>No</v>
      </c>
      <c r="J2" s="104">
        <f>+IF(I2="Si",1,IF(I2="En proceso",0.5,0))</f>
        <v>0</v>
      </c>
      <c r="K2" s="105">
        <f t="shared" ref="K2:K45" si="1">+AVERAGEIF($B$2:$B$45,B2,$J$2:$J$45)</f>
        <v>0.91666666666666663</v>
      </c>
    </row>
    <row r="3" spans="1:11" x14ac:dyDescent="0.25">
      <c r="A3" s="103" t="s">
        <v>112</v>
      </c>
      <c r="B3" s="103" t="s">
        <v>10</v>
      </c>
      <c r="C3" s="103" t="s">
        <v>11</v>
      </c>
      <c r="D3" s="103" t="s">
        <v>15</v>
      </c>
      <c r="E3" s="103" t="s">
        <v>16</v>
      </c>
      <c r="F3" s="103" t="str">
        <f>+VLOOKUP(A3,'Estado SCI'!$A$16:$I$59,9,0)</f>
        <v>Mantenimiento del control</v>
      </c>
      <c r="G3" s="103">
        <f>+VLOOKUP(A3,'Estado SCI'!$A$16:$L$59,12,0)</f>
        <v>20.1234</v>
      </c>
      <c r="H3" s="103">
        <f t="shared" si="0"/>
        <v>2</v>
      </c>
      <c r="I3" s="103" t="str">
        <f>+IF(VLOOKUP(A3,'Estado SCI'!$A$16:$G$59,7,0)="","",VLOOKUP(A3,'Estado SCI'!$A$16:$G$59,7,0))</f>
        <v>Si</v>
      </c>
      <c r="J3" s="104">
        <f t="shared" ref="J3:J45" si="2">+IF(I3="Si",1,IF(I3="En proceso",0.5,0))</f>
        <v>1</v>
      </c>
      <c r="K3" s="105">
        <f t="shared" si="1"/>
        <v>0.91666666666666663</v>
      </c>
    </row>
    <row r="4" spans="1:11" x14ac:dyDescent="0.25">
      <c r="A4" s="103" t="s">
        <v>113</v>
      </c>
      <c r="B4" s="103" t="s">
        <v>10</v>
      </c>
      <c r="C4" s="103" t="s">
        <v>11</v>
      </c>
      <c r="D4" s="103" t="s">
        <v>18</v>
      </c>
      <c r="E4" s="103" t="s">
        <v>19</v>
      </c>
      <c r="F4" s="103" t="str">
        <f>+VLOOKUP(A4,'Estado SCI'!$A$16:$I$59,9,0)</f>
        <v>Mantenimiento del control</v>
      </c>
      <c r="G4" s="103">
        <f>+VLOOKUP(A4,'Estado SCI'!$A$16:$L$59,12,0)</f>
        <v>20.123449999999998</v>
      </c>
      <c r="H4" s="103">
        <f t="shared" si="0"/>
        <v>3</v>
      </c>
      <c r="I4" s="103" t="str">
        <f>+IF(VLOOKUP(A4,'Estado SCI'!$A$16:$G$59,7,0)="","",VLOOKUP(A4,'Estado SCI'!$A$16:$G$59,7,0))</f>
        <v>Si</v>
      </c>
      <c r="J4" s="104">
        <f t="shared" si="2"/>
        <v>1</v>
      </c>
      <c r="K4" s="105">
        <f t="shared" si="1"/>
        <v>0.91666666666666663</v>
      </c>
    </row>
    <row r="5" spans="1:11" x14ac:dyDescent="0.25">
      <c r="A5" s="103" t="s">
        <v>114</v>
      </c>
      <c r="B5" s="103" t="s">
        <v>10</v>
      </c>
      <c r="C5" s="103" t="s">
        <v>11</v>
      </c>
      <c r="D5" s="103" t="s">
        <v>20</v>
      </c>
      <c r="E5" s="103" t="s">
        <v>21</v>
      </c>
      <c r="F5" s="103" t="str">
        <f>+VLOOKUP(A5,'Estado SCI'!$A$16:$I$59,9,0)</f>
        <v>Mantenimiento del control</v>
      </c>
      <c r="G5" s="103">
        <f>+VLOOKUP(A5,'Estado SCI'!$A$16:$L$59,12,0)</f>
        <v>20.123456000000001</v>
      </c>
      <c r="H5" s="103">
        <f t="shared" si="0"/>
        <v>4</v>
      </c>
      <c r="I5" s="103" t="str">
        <f>+IF(VLOOKUP(A5,'Estado SCI'!$A$16:$G$59,7,0)="","",VLOOKUP(A5,'Estado SCI'!$A$16:$G$59,7,0))</f>
        <v>Si</v>
      </c>
      <c r="J5" s="104">
        <f t="shared" si="2"/>
        <v>1</v>
      </c>
      <c r="K5" s="105">
        <f t="shared" si="1"/>
        <v>0.91666666666666663</v>
      </c>
    </row>
    <row r="6" spans="1:11" x14ac:dyDescent="0.25">
      <c r="A6" s="103" t="s">
        <v>115</v>
      </c>
      <c r="B6" s="103" t="s">
        <v>10</v>
      </c>
      <c r="C6" s="103" t="s">
        <v>11</v>
      </c>
      <c r="D6" s="103" t="s">
        <v>22</v>
      </c>
      <c r="E6" s="103" t="s">
        <v>23</v>
      </c>
      <c r="F6" s="103" t="str">
        <f>+VLOOKUP(A6,'Estado SCI'!$A$16:$I$59,9,0)</f>
        <v>Mantenimiento del control</v>
      </c>
      <c r="G6" s="103">
        <f>+VLOOKUP(A6,'Estado SCI'!$A$16:$L$59,12,0)</f>
        <v>20.123456780000001</v>
      </c>
      <c r="H6" s="103">
        <f t="shared" si="0"/>
        <v>5</v>
      </c>
      <c r="I6" s="103" t="str">
        <f>+IF(VLOOKUP(A6,'Estado SCI'!$A$16:$G$59,7,0)="","",VLOOKUP(A6,'Estado SCI'!$A$16:$G$59,7,0))</f>
        <v>Si</v>
      </c>
      <c r="J6" s="104">
        <f t="shared" si="2"/>
        <v>1</v>
      </c>
      <c r="K6" s="105">
        <f t="shared" si="1"/>
        <v>0.91666666666666663</v>
      </c>
    </row>
    <row r="7" spans="1:11" x14ac:dyDescent="0.25">
      <c r="A7" s="103" t="s">
        <v>116</v>
      </c>
      <c r="B7" s="103" t="s">
        <v>10</v>
      </c>
      <c r="C7" s="103" t="s">
        <v>11</v>
      </c>
      <c r="D7" s="103" t="s">
        <v>24</v>
      </c>
      <c r="E7" s="103" t="s">
        <v>25</v>
      </c>
      <c r="F7" s="103" t="str">
        <f>+VLOOKUP(A7,'Estado SCI'!$A$16:$I$59,9,0)</f>
        <v>Mantenimiento del control</v>
      </c>
      <c r="G7" s="103">
        <f>+VLOOKUP(A7,'Estado SCI'!$A$16:$L$59,12,0)</f>
        <v>20.123456788999999</v>
      </c>
      <c r="H7" s="103">
        <f t="shared" si="0"/>
        <v>6</v>
      </c>
      <c r="I7" s="103" t="str">
        <f>+IF(VLOOKUP(A7,'Estado SCI'!$A$16:$G$59,7,0)="","",VLOOKUP(A7,'Estado SCI'!$A$16:$G$59,7,0))</f>
        <v>Si</v>
      </c>
      <c r="J7" s="104">
        <f t="shared" si="2"/>
        <v>1</v>
      </c>
      <c r="K7" s="105">
        <f t="shared" si="1"/>
        <v>0.91666666666666663</v>
      </c>
    </row>
    <row r="8" spans="1:11" x14ac:dyDescent="0.25">
      <c r="A8" s="103" t="s">
        <v>117</v>
      </c>
      <c r="B8" s="103" t="s">
        <v>10</v>
      </c>
      <c r="C8" s="103" t="s">
        <v>11</v>
      </c>
      <c r="D8" s="103" t="s">
        <v>26</v>
      </c>
      <c r="E8" s="103" t="s">
        <v>27</v>
      </c>
      <c r="F8" s="103" t="str">
        <f>+VLOOKUP(A8,'Estado SCI'!$A$16:$I$59,9,0)</f>
        <v>Mantenimiento del control</v>
      </c>
      <c r="G8" s="103">
        <f>+VLOOKUP(A8,'Estado SCI'!$A$16:$L$59,12,0)</f>
        <v>20.1234567891</v>
      </c>
      <c r="H8" s="103">
        <f t="shared" si="0"/>
        <v>7</v>
      </c>
      <c r="I8" s="103" t="str">
        <f>+IF(VLOOKUP(A8,'Estado SCI'!$A$16:$G$59,7,0)="","",VLOOKUP(A8,'Estado SCI'!$A$16:$G$59,7,0))</f>
        <v>Si</v>
      </c>
      <c r="J8" s="104">
        <f t="shared" si="2"/>
        <v>1</v>
      </c>
      <c r="K8" s="105">
        <f t="shared" si="1"/>
        <v>0.91666666666666663</v>
      </c>
    </row>
    <row r="9" spans="1:11" x14ac:dyDescent="0.25">
      <c r="A9" s="103" t="s">
        <v>118</v>
      </c>
      <c r="B9" s="103" t="s">
        <v>10</v>
      </c>
      <c r="C9" s="103" t="s">
        <v>11</v>
      </c>
      <c r="D9" s="103" t="s">
        <v>28</v>
      </c>
      <c r="E9" s="103" t="s">
        <v>29</v>
      </c>
      <c r="F9" s="103" t="str">
        <f>+VLOOKUP(A9,'Estado SCI'!$A$16:$I$59,9,0)</f>
        <v>Mantenimiento del control</v>
      </c>
      <c r="G9" s="103">
        <f>+VLOOKUP(A9,'Estado SCI'!$A$16:$L$59,12,0)</f>
        <v>20.123456789119999</v>
      </c>
      <c r="H9" s="103">
        <f t="shared" si="0"/>
        <v>8</v>
      </c>
      <c r="I9" s="103" t="str">
        <f>+IF(VLOOKUP(A9,'Estado SCI'!$A$16:$G$59,7,0)="","",VLOOKUP(A9,'Estado SCI'!$A$16:$G$59,7,0))</f>
        <v>Si</v>
      </c>
      <c r="J9" s="104">
        <f t="shared" si="2"/>
        <v>1</v>
      </c>
      <c r="K9" s="105">
        <f t="shared" si="1"/>
        <v>0.91666666666666663</v>
      </c>
    </row>
    <row r="10" spans="1:11" x14ac:dyDescent="0.25">
      <c r="A10" s="103" t="s">
        <v>119</v>
      </c>
      <c r="B10" s="103" t="s">
        <v>10</v>
      </c>
      <c r="C10" s="103" t="s">
        <v>11</v>
      </c>
      <c r="D10" s="103" t="s">
        <v>30</v>
      </c>
      <c r="E10" s="103" t="s">
        <v>31</v>
      </c>
      <c r="F10" s="103" t="str">
        <f>+VLOOKUP(A10,'Estado SCI'!$A$16:$I$59,9,0)</f>
        <v>Mantenimiento del control</v>
      </c>
      <c r="G10" s="103">
        <f>+VLOOKUP(A10,'Estado SCI'!$A$16:$L$59,12,0)</f>
        <v>20.123456789123001</v>
      </c>
      <c r="H10" s="103">
        <f t="shared" si="0"/>
        <v>9</v>
      </c>
      <c r="I10" s="103" t="str">
        <f>+IF(VLOOKUP(A10,'Estado SCI'!$A$16:$G$59,7,0)="","",VLOOKUP(A10,'Estado SCI'!$A$16:$G$59,7,0))</f>
        <v>Si</v>
      </c>
      <c r="J10" s="104">
        <f t="shared" si="2"/>
        <v>1</v>
      </c>
      <c r="K10" s="105">
        <f t="shared" si="1"/>
        <v>0.91666666666666663</v>
      </c>
    </row>
    <row r="11" spans="1:11" x14ac:dyDescent="0.25">
      <c r="A11" s="103" t="s">
        <v>120</v>
      </c>
      <c r="B11" s="103" t="s">
        <v>10</v>
      </c>
      <c r="C11" s="103" t="s">
        <v>11</v>
      </c>
      <c r="D11" s="103" t="s">
        <v>32</v>
      </c>
      <c r="E11" s="103" t="s">
        <v>33</v>
      </c>
      <c r="F11" s="103" t="str">
        <f>+VLOOKUP(A11,'Estado SCI'!$A$16:$I$59,9,0)</f>
        <v>Mantenimiento del control</v>
      </c>
      <c r="G11" s="103">
        <f>+VLOOKUP(A11,'Estado SCI'!$A$16:$L$59,12,0)</f>
        <v>20.123456789123399</v>
      </c>
      <c r="H11" s="103">
        <f t="shared" si="0"/>
        <v>10</v>
      </c>
      <c r="I11" s="103" t="str">
        <f>+IF(VLOOKUP(A11,'Estado SCI'!$A$16:$G$59,7,0)="","",VLOOKUP(A11,'Estado SCI'!$A$16:$G$59,7,0))</f>
        <v>Si</v>
      </c>
      <c r="J11" s="104">
        <f t="shared" si="2"/>
        <v>1</v>
      </c>
      <c r="K11" s="105">
        <f t="shared" si="1"/>
        <v>0.91666666666666663</v>
      </c>
    </row>
    <row r="12" spans="1:11" x14ac:dyDescent="0.25">
      <c r="A12" s="103" t="s">
        <v>121</v>
      </c>
      <c r="B12" s="103" t="s">
        <v>10</v>
      </c>
      <c r="C12" s="103" t="s">
        <v>11</v>
      </c>
      <c r="D12" s="103" t="s">
        <v>34</v>
      </c>
      <c r="E12" s="103" t="s">
        <v>35</v>
      </c>
      <c r="F12" s="103" t="str">
        <f>+VLOOKUP(A12,'Estado SCI'!$A$16:$I$59,9,0)</f>
        <v>Mantenimiento del control</v>
      </c>
      <c r="G12" s="103">
        <f>+VLOOKUP(A12,'Estado SCI'!$A$16:$L$59,12,0)</f>
        <v>20.123456789123448</v>
      </c>
      <c r="H12" s="103">
        <f t="shared" si="0"/>
        <v>11</v>
      </c>
      <c r="I12" s="103" t="str">
        <f>+IF(VLOOKUP(A12,'Estado SCI'!$A$16:$G$59,7,0)="","",VLOOKUP(A12,'Estado SCI'!$A$16:$G$59,7,0))</f>
        <v>Si</v>
      </c>
      <c r="J12" s="104">
        <f t="shared" si="2"/>
        <v>1</v>
      </c>
      <c r="K12" s="105">
        <f t="shared" si="1"/>
        <v>0.91666666666666663</v>
      </c>
    </row>
    <row r="13" spans="1:11" x14ac:dyDescent="0.25">
      <c r="A13" s="103" t="s">
        <v>122</v>
      </c>
      <c r="B13" s="103" t="s">
        <v>10</v>
      </c>
      <c r="C13" s="103" t="s">
        <v>11</v>
      </c>
      <c r="D13" s="103" t="s">
        <v>36</v>
      </c>
      <c r="E13" s="103" t="s">
        <v>37</v>
      </c>
      <c r="F13" s="103" t="str">
        <f>+VLOOKUP(A13,'Estado SCI'!$A$16:$I$59,9,0)</f>
        <v>Mantenimiento del control</v>
      </c>
      <c r="G13" s="103">
        <f>+VLOOKUP(A13,'Estado SCI'!$A$16:$L$59,12,0)</f>
        <v>20.123456789123455</v>
      </c>
      <c r="H13" s="103">
        <f t="shared" si="0"/>
        <v>12</v>
      </c>
      <c r="I13" s="103" t="str">
        <f>+IF(VLOOKUP(A13,'Estado SCI'!$A$16:$G$59,7,0)="","",VLOOKUP(A13,'Estado SCI'!$A$16:$G$59,7,0))</f>
        <v>Si</v>
      </c>
      <c r="J13" s="104">
        <f t="shared" si="2"/>
        <v>1</v>
      </c>
      <c r="K13" s="105">
        <f t="shared" si="1"/>
        <v>0.91666666666666663</v>
      </c>
    </row>
    <row r="14" spans="1:11" ht="15" customHeight="1" x14ac:dyDescent="0.25">
      <c r="A14" s="103" t="s">
        <v>123</v>
      </c>
      <c r="B14" s="103" t="str">
        <f>+VLOOKUP(A14,'Estado SCI'!$A$16:$C$59,3,0)</f>
        <v>EVALUACION DEL RIESGO</v>
      </c>
      <c r="C14" s="103" t="s">
        <v>40</v>
      </c>
      <c r="D14" s="103" t="s">
        <v>12</v>
      </c>
      <c r="E14" s="103" t="s">
        <v>124</v>
      </c>
      <c r="F14" s="103" t="str">
        <f>+VLOOKUP(A14,'Estado SCI'!$A$16:$I$59,9,0)</f>
        <v>Mantenimiento del control</v>
      </c>
      <c r="G14" s="103">
        <f>+VLOOKUP(A14,'Estado SCI'!$A$16:$L$59,12,0)</f>
        <v>40.229999999999997</v>
      </c>
      <c r="H14" s="103">
        <f t="shared" si="0"/>
        <v>15</v>
      </c>
      <c r="I14" s="103" t="str">
        <f>+IF(VLOOKUP(A14,'Estado SCI'!$A$16:$G$59,7,0)="","",VLOOKUP(A14,'Estado SCI'!$A$16:$G$59,7,0))</f>
        <v>Si</v>
      </c>
      <c r="J14" s="104">
        <f t="shared" si="2"/>
        <v>1</v>
      </c>
      <c r="K14" s="105">
        <f t="shared" si="1"/>
        <v>0.9</v>
      </c>
    </row>
    <row r="15" spans="1:11" ht="15" customHeight="1" x14ac:dyDescent="0.25">
      <c r="A15" s="103" t="s">
        <v>125</v>
      </c>
      <c r="B15" s="103" t="s">
        <v>39</v>
      </c>
      <c r="C15" s="103" t="s">
        <v>40</v>
      </c>
      <c r="D15" s="103" t="s">
        <v>15</v>
      </c>
      <c r="E15" s="103" t="s">
        <v>126</v>
      </c>
      <c r="F15" s="103" t="str">
        <f>+VLOOKUP(A15,'Estado SCI'!$A$16:$I$59,9,0)</f>
        <v>Mantenimiento del control</v>
      </c>
      <c r="G15" s="103">
        <f>+VLOOKUP(A15,'Estado SCI'!$A$16:$L$59,12,0)</f>
        <v>40.234000000000002</v>
      </c>
      <c r="H15" s="103">
        <f t="shared" si="0"/>
        <v>16</v>
      </c>
      <c r="I15" s="103" t="str">
        <f>+IF(VLOOKUP(A15,'Estado SCI'!$A$16:$G$59,7,0)="","",VLOOKUP(A15,'Estado SCI'!$A$16:$G$59,7,0))</f>
        <v>Si</v>
      </c>
      <c r="J15" s="104">
        <f t="shared" si="2"/>
        <v>1</v>
      </c>
      <c r="K15" s="105">
        <f t="shared" si="1"/>
        <v>0.9</v>
      </c>
    </row>
    <row r="16" spans="1:11" ht="15" customHeight="1" x14ac:dyDescent="0.25">
      <c r="A16" s="103" t="s">
        <v>127</v>
      </c>
      <c r="B16" s="103" t="s">
        <v>39</v>
      </c>
      <c r="C16" s="103" t="s">
        <v>40</v>
      </c>
      <c r="D16" s="103" t="s">
        <v>18</v>
      </c>
      <c r="E16" s="103" t="s">
        <v>128</v>
      </c>
      <c r="F16" s="103" t="str">
        <f>+VLOOKUP(A16,'Estado SCI'!$A$16:$I$59,9,0)</f>
        <v>Mantenimiento del control</v>
      </c>
      <c r="G16" s="103">
        <f>+VLOOKUP(A16,'Estado SCI'!$A$16:$L$59,12,0)</f>
        <v>40.234499999999997</v>
      </c>
      <c r="H16" s="103">
        <f t="shared" si="0"/>
        <v>17</v>
      </c>
      <c r="I16" s="103" t="str">
        <f>+IF(VLOOKUP(A16,'Estado SCI'!$A$16:$G$59,7,0)="","",VLOOKUP(A16,'Estado SCI'!$A$16:$G$59,7,0))</f>
        <v>Si</v>
      </c>
      <c r="J16" s="104">
        <f t="shared" si="2"/>
        <v>1</v>
      </c>
      <c r="K16" s="105">
        <f t="shared" si="1"/>
        <v>0.9</v>
      </c>
    </row>
    <row r="17" spans="1:11" ht="15.75" customHeight="1" x14ac:dyDescent="0.25">
      <c r="A17" s="103" t="s">
        <v>129</v>
      </c>
      <c r="B17" s="103" t="s">
        <v>39</v>
      </c>
      <c r="C17" s="103" t="s">
        <v>40</v>
      </c>
      <c r="D17" s="103" t="s">
        <v>20</v>
      </c>
      <c r="E17" s="103" t="s">
        <v>44</v>
      </c>
      <c r="F17" s="103" t="str">
        <f>+VLOOKUP(A17,'Estado SCI'!$A$16:$I$59,9,0)</f>
        <v>Mantenimiento del control</v>
      </c>
      <c r="G17" s="103">
        <f>+VLOOKUP(A17,'Estado SCI'!$A$16:$L$59,12,0)</f>
        <v>40.234560000000002</v>
      </c>
      <c r="H17" s="103">
        <f t="shared" si="0"/>
        <v>18</v>
      </c>
      <c r="I17" s="103" t="str">
        <f>+IF(VLOOKUP(A17,'Estado SCI'!$A$16:$G$59,7,0)="","",VLOOKUP(A17,'Estado SCI'!$A$16:$G$59,7,0))</f>
        <v>Si</v>
      </c>
      <c r="J17" s="104">
        <f t="shared" si="2"/>
        <v>1</v>
      </c>
      <c r="K17" s="105">
        <f t="shared" si="1"/>
        <v>0.9</v>
      </c>
    </row>
    <row r="18" spans="1:11" ht="15" customHeight="1" x14ac:dyDescent="0.25">
      <c r="A18" s="103" t="s">
        <v>130</v>
      </c>
      <c r="B18" s="103" t="s">
        <v>39</v>
      </c>
      <c r="C18" s="103" t="s">
        <v>58</v>
      </c>
      <c r="D18" s="103" t="s">
        <v>12</v>
      </c>
      <c r="E18" s="103" t="s">
        <v>47</v>
      </c>
      <c r="F18" s="103" t="str">
        <f>+VLOOKUP(A18,'Estado SCI'!$A$16:$I$59,9,0)</f>
        <v>Mantenimiento del control</v>
      </c>
      <c r="G18" s="103">
        <f>+VLOOKUP(A18,'Estado SCI'!$A$16:$L$59,12,0)</f>
        <v>40.234566999999998</v>
      </c>
      <c r="H18" s="103">
        <f t="shared" si="0"/>
        <v>19</v>
      </c>
      <c r="I18" s="103" t="str">
        <f>+IF(VLOOKUP(A18,'Estado SCI'!$A$16:$G$59,7,0)="","",VLOOKUP(A18,'Estado SCI'!$A$16:$G$59,7,0))</f>
        <v>Si</v>
      </c>
      <c r="J18" s="104">
        <f t="shared" si="2"/>
        <v>1</v>
      </c>
      <c r="K18" s="105">
        <f t="shared" si="1"/>
        <v>0.9</v>
      </c>
    </row>
    <row r="19" spans="1:11" ht="15" customHeight="1" x14ac:dyDescent="0.25">
      <c r="A19" s="103" t="s">
        <v>131</v>
      </c>
      <c r="B19" s="103" t="s">
        <v>39</v>
      </c>
      <c r="C19" s="103" t="s">
        <v>58</v>
      </c>
      <c r="D19" s="103" t="s">
        <v>15</v>
      </c>
      <c r="E19" s="103" t="s">
        <v>48</v>
      </c>
      <c r="F19" s="103" t="str">
        <f>+VLOOKUP(A19,'Estado SCI'!$A$16:$I$59,9,0)</f>
        <v>Mantenimiento del control</v>
      </c>
      <c r="G19" s="103">
        <f>+VLOOKUP(A19,'Estado SCI'!$A$16:$L$59,12,0)</f>
        <v>40.234567800000001</v>
      </c>
      <c r="H19" s="103">
        <f t="shared" si="0"/>
        <v>20</v>
      </c>
      <c r="I19" s="103" t="str">
        <f>+IF(VLOOKUP(A19,'Estado SCI'!$A$16:$G$59,7,0)="","",VLOOKUP(A19,'Estado SCI'!$A$16:$G$59,7,0))</f>
        <v>Si</v>
      </c>
      <c r="J19" s="104">
        <f t="shared" si="2"/>
        <v>1</v>
      </c>
      <c r="K19" s="105">
        <f t="shared" si="1"/>
        <v>0.9</v>
      </c>
    </row>
    <row r="20" spans="1:11" ht="15" customHeight="1" x14ac:dyDescent="0.25">
      <c r="A20" s="103" t="s">
        <v>132</v>
      </c>
      <c r="B20" s="103" t="s">
        <v>39</v>
      </c>
      <c r="C20" s="103" t="s">
        <v>58</v>
      </c>
      <c r="D20" s="103" t="s">
        <v>18</v>
      </c>
      <c r="E20" s="103" t="s">
        <v>49</v>
      </c>
      <c r="F20" s="103" t="str">
        <f>+VLOOKUP(A20,'Estado SCI'!$A$16:$I$59,9,0)</f>
        <v>Mantenimiento del control</v>
      </c>
      <c r="G20" s="103">
        <f>+VLOOKUP(A20,'Estado SCI'!$A$16:$L$59,12,0)</f>
        <v>40.234567890000001</v>
      </c>
      <c r="H20" s="103">
        <f t="shared" si="0"/>
        <v>21</v>
      </c>
      <c r="I20" s="103" t="str">
        <f>+IF(VLOOKUP(A20,'Estado SCI'!$A$16:$G$59,7,0)="","",VLOOKUP(A20,'Estado SCI'!$A$16:$G$59,7,0))</f>
        <v>Si</v>
      </c>
      <c r="J20" s="104">
        <f t="shared" si="2"/>
        <v>1</v>
      </c>
      <c r="K20" s="105">
        <f t="shared" si="1"/>
        <v>0.9</v>
      </c>
    </row>
    <row r="21" spans="1:11" ht="15.75" customHeight="1" x14ac:dyDescent="0.25">
      <c r="A21" s="103" t="s">
        <v>133</v>
      </c>
      <c r="B21" s="103" t="s">
        <v>39</v>
      </c>
      <c r="C21" s="103" t="s">
        <v>58</v>
      </c>
      <c r="D21" s="103" t="s">
        <v>12</v>
      </c>
      <c r="E21" s="103" t="s">
        <v>52</v>
      </c>
      <c r="F21" s="103" t="str">
        <f>+VLOOKUP(A21,'Estado SCI'!$A$16:$I$59,9,0)</f>
        <v>Oportunidad de mejora</v>
      </c>
      <c r="G21" s="103">
        <f>+VLOOKUP(A21,'Estado SCI'!$A$16:$L$59,12,0)</f>
        <v>30.234567891200001</v>
      </c>
      <c r="H21" s="103">
        <f t="shared" si="0"/>
        <v>13</v>
      </c>
      <c r="I21" s="103" t="str">
        <f>+IF(VLOOKUP(A21,'Estado SCI'!$A$16:$G$59,7,0)="","",VLOOKUP(A21,'Estado SCI'!$A$16:$G$59,7,0))</f>
        <v>En proceso</v>
      </c>
      <c r="J21" s="104">
        <f t="shared" si="2"/>
        <v>0.5</v>
      </c>
      <c r="K21" s="105">
        <f t="shared" si="1"/>
        <v>0.9</v>
      </c>
    </row>
    <row r="22" spans="1:11" ht="15" customHeight="1" x14ac:dyDescent="0.25">
      <c r="A22" s="103" t="s">
        <v>134</v>
      </c>
      <c r="B22" s="103" t="s">
        <v>39</v>
      </c>
      <c r="C22" s="103" t="s">
        <v>66</v>
      </c>
      <c r="D22" s="103" t="s">
        <v>15</v>
      </c>
      <c r="E22" s="103" t="s">
        <v>53</v>
      </c>
      <c r="F22" s="103" t="str">
        <f>+VLOOKUP(A22,'Estado SCI'!$A$16:$I$59,9,0)</f>
        <v>Oportunidad de mejora</v>
      </c>
      <c r="G22" s="103">
        <f>+VLOOKUP(A22,'Estado SCI'!$A$16:$L$59,12,0)</f>
        <v>30.23456789123</v>
      </c>
      <c r="H22" s="103">
        <f t="shared" si="0"/>
        <v>14</v>
      </c>
      <c r="I22" s="103" t="str">
        <f>+IF(VLOOKUP(A22,'Estado SCI'!$A$16:$G$59,7,0)="","",VLOOKUP(A22,'Estado SCI'!$A$16:$G$59,7,0))</f>
        <v>En proceso</v>
      </c>
      <c r="J22" s="104">
        <f t="shared" si="2"/>
        <v>0.5</v>
      </c>
      <c r="K22" s="105">
        <f t="shared" si="1"/>
        <v>0.9</v>
      </c>
    </row>
    <row r="23" spans="1:11" ht="15" customHeight="1" x14ac:dyDescent="0.25">
      <c r="A23" s="103" t="s">
        <v>135</v>
      </c>
      <c r="B23" s="103" t="s">
        <v>39</v>
      </c>
      <c r="C23" s="103" t="s">
        <v>66</v>
      </c>
      <c r="D23" s="103" t="s">
        <v>18</v>
      </c>
      <c r="E23" s="103" t="s">
        <v>55</v>
      </c>
      <c r="F23" s="103" t="str">
        <f>+VLOOKUP(A23,'Estado SCI'!$A$16:$I$59,9,0)</f>
        <v>Mantenimiento del control</v>
      </c>
      <c r="G23" s="103">
        <f>+VLOOKUP(A23,'Estado SCI'!$A$16:$L$59,12,0)</f>
        <v>40.234567891234001</v>
      </c>
      <c r="H23" s="103">
        <f t="shared" si="0"/>
        <v>22</v>
      </c>
      <c r="I23" s="103" t="str">
        <f>+IF(VLOOKUP(A23,'Estado SCI'!$A$16:$G$59,7,0)="","",VLOOKUP(A23,'Estado SCI'!$A$16:$G$59,7,0))</f>
        <v>Si</v>
      </c>
      <c r="J23" s="104">
        <f t="shared" si="2"/>
        <v>1</v>
      </c>
      <c r="K23" s="105">
        <f t="shared" si="1"/>
        <v>0.9</v>
      </c>
    </row>
    <row r="24" spans="1:11" ht="15" customHeight="1" x14ac:dyDescent="0.25">
      <c r="A24" s="103" t="s">
        <v>136</v>
      </c>
      <c r="B24" s="103" t="str">
        <f>+VLOOKUP(A24,'Estado SCI'!$A$16:$C$59,3,0)</f>
        <v>ACTIVIDADES DE CONTROL</v>
      </c>
      <c r="C24" s="103" t="s">
        <v>66</v>
      </c>
      <c r="D24" s="103" t="s">
        <v>12</v>
      </c>
      <c r="E24" s="103" t="s">
        <v>59</v>
      </c>
      <c r="F24" s="103" t="str">
        <f>+VLOOKUP(A24,'Estado SCI'!$A$16:$I$59,9,0)</f>
        <v>Oportunidad de mejora</v>
      </c>
      <c r="G24" s="103">
        <f>+VLOOKUP(A24,'Estado SCI'!$A$16:$L$59,12,0)</f>
        <v>50.31</v>
      </c>
      <c r="H24" s="103">
        <f t="shared" si="0"/>
        <v>24</v>
      </c>
      <c r="I24" s="103" t="str">
        <f>+IF(VLOOKUP(A24,'Estado SCI'!$A$16:$G$59,7,0)="","",VLOOKUP(A24,'Estado SCI'!$A$16:$G$59,7,0))</f>
        <v>En proceso</v>
      </c>
      <c r="J24" s="104">
        <f t="shared" si="2"/>
        <v>0.5</v>
      </c>
      <c r="K24" s="105">
        <f t="shared" si="1"/>
        <v>0.5</v>
      </c>
    </row>
    <row r="25" spans="1:11" ht="15" customHeight="1" x14ac:dyDescent="0.25">
      <c r="A25" s="103" t="s">
        <v>137</v>
      </c>
      <c r="B25" s="103" t="s">
        <v>57</v>
      </c>
      <c r="C25" s="103" t="s">
        <v>66</v>
      </c>
      <c r="D25" s="103" t="s">
        <v>15</v>
      </c>
      <c r="E25" s="103" t="s">
        <v>60</v>
      </c>
      <c r="F25" s="103" t="str">
        <f>+VLOOKUP(A25,'Estado SCI'!$A$16:$I$59,9,0)</f>
        <v>Oportunidad de mejora</v>
      </c>
      <c r="G25" s="103">
        <f>+VLOOKUP(A25,'Estado SCI'!$A$16:$L$59,12,0)</f>
        <v>50.323</v>
      </c>
      <c r="H25" s="103">
        <f t="shared" si="0"/>
        <v>25</v>
      </c>
      <c r="I25" s="103" t="str">
        <f>+IF(VLOOKUP(A25,'Estado SCI'!$A$16:$G$59,7,0)="","",VLOOKUP(A25,'Estado SCI'!$A$16:$G$59,7,0))</f>
        <v>En proceso</v>
      </c>
      <c r="J25" s="104">
        <f t="shared" si="2"/>
        <v>0.5</v>
      </c>
      <c r="K25" s="105">
        <f t="shared" si="1"/>
        <v>0.5</v>
      </c>
    </row>
    <row r="26" spans="1:11" ht="15" customHeight="1" x14ac:dyDescent="0.25">
      <c r="A26" s="103" t="s">
        <v>138</v>
      </c>
      <c r="B26" s="103" t="s">
        <v>57</v>
      </c>
      <c r="C26" s="103" t="s">
        <v>66</v>
      </c>
      <c r="D26" s="103" t="s">
        <v>18</v>
      </c>
      <c r="E26" s="103" t="s">
        <v>61</v>
      </c>
      <c r="F26" s="103" t="str">
        <f>+VLOOKUP(A26,'Estado SCI'!$A$16:$I$59,9,0)</f>
        <v>Oportunidad de mejora</v>
      </c>
      <c r="G26" s="103">
        <f>+VLOOKUP(A26,'Estado SCI'!$A$16:$L$59,12,0)</f>
        <v>50.323999999999998</v>
      </c>
      <c r="H26" s="103">
        <f t="shared" si="0"/>
        <v>26</v>
      </c>
      <c r="I26" s="103" t="str">
        <f>+IF(VLOOKUP(A26,'Estado SCI'!$A$16:$G$59,7,0)="","",VLOOKUP(A26,'Estado SCI'!$A$16:$G$59,7,0))</f>
        <v>En proceso</v>
      </c>
      <c r="J26" s="104">
        <f t="shared" si="2"/>
        <v>0.5</v>
      </c>
      <c r="K26" s="105">
        <f t="shared" si="1"/>
        <v>0.5</v>
      </c>
    </row>
    <row r="27" spans="1:11" ht="15.75" customHeight="1" x14ac:dyDescent="0.25">
      <c r="A27" s="103" t="s">
        <v>139</v>
      </c>
      <c r="B27" s="103" t="s">
        <v>57</v>
      </c>
      <c r="C27" s="103" t="s">
        <v>66</v>
      </c>
      <c r="D27" s="103" t="s">
        <v>20</v>
      </c>
      <c r="E27" s="103" t="s">
        <v>62</v>
      </c>
      <c r="F27" s="103" t="str">
        <f>+VLOOKUP(A27,'Estado SCI'!$A$16:$I$59,9,0)</f>
        <v>Deficiencia de control</v>
      </c>
      <c r="G27" s="103">
        <f>+VLOOKUP(A27,'Estado SCI'!$A$16:$L$59,12,0)</f>
        <v>40.325000000000003</v>
      </c>
      <c r="H27" s="103">
        <f t="shared" si="0"/>
        <v>23</v>
      </c>
      <c r="I27" s="103" t="str">
        <f>+IF(VLOOKUP(A27,'Estado SCI'!$A$16:$G$59,7,0)="","",VLOOKUP(A27,'Estado SCI'!$A$16:$G$59,7,0))</f>
        <v>No</v>
      </c>
      <c r="J27" s="104">
        <f t="shared" si="2"/>
        <v>0</v>
      </c>
      <c r="K27" s="105">
        <f t="shared" si="1"/>
        <v>0.5</v>
      </c>
    </row>
    <row r="28" spans="1:11" ht="15" customHeight="1" x14ac:dyDescent="0.25">
      <c r="A28" s="103" t="s">
        <v>140</v>
      </c>
      <c r="B28" s="103" t="s">
        <v>57</v>
      </c>
      <c r="C28" s="103" t="s">
        <v>76</v>
      </c>
      <c r="D28" s="103" t="s">
        <v>22</v>
      </c>
      <c r="E28" s="103" t="s">
        <v>63</v>
      </c>
      <c r="F28" s="103" t="str">
        <f>+VLOOKUP(A28,'Estado SCI'!$A$16:$I$59,9,0)</f>
        <v>Mantenimiento del control</v>
      </c>
      <c r="G28" s="103">
        <f>+VLOOKUP(A28,'Estado SCI'!$A$16:$L$59,12,0)</f>
        <v>60.326000000000001</v>
      </c>
      <c r="H28" s="103">
        <f t="shared" si="0"/>
        <v>27</v>
      </c>
      <c r="I28" s="103" t="str">
        <f>+IF(VLOOKUP(A28,'Estado SCI'!$A$16:$G$59,7,0)="","",VLOOKUP(A28,'Estado SCI'!$A$16:$G$59,7,0))</f>
        <v>Si</v>
      </c>
      <c r="J28" s="104">
        <f t="shared" si="2"/>
        <v>1</v>
      </c>
      <c r="K28" s="105">
        <f t="shared" si="1"/>
        <v>0.5</v>
      </c>
    </row>
    <row r="29" spans="1:11" ht="15" customHeight="1" x14ac:dyDescent="0.25">
      <c r="A29" s="103" t="s">
        <v>141</v>
      </c>
      <c r="B29" s="103" t="str">
        <f>+VLOOKUP(A29,'Estado SCI'!$A$16:$C$59,3,0)</f>
        <v>INFORMACION Y COMUNICACIÓN</v>
      </c>
      <c r="C29" s="103" t="s">
        <v>76</v>
      </c>
      <c r="D29" s="103" t="s">
        <v>12</v>
      </c>
      <c r="E29" s="103" t="s">
        <v>67</v>
      </c>
      <c r="F29" s="103" t="str">
        <f>+VLOOKUP(A29,'Estado SCI'!$A$16:$I$59,9,0)</f>
        <v>Mantenimiento del control</v>
      </c>
      <c r="G29" s="103">
        <f>+VLOOKUP(A29,'Estado SCI'!$A$16:$L$59,12,0)</f>
        <v>80.412000000000006</v>
      </c>
      <c r="H29" s="103">
        <f t="shared" si="0"/>
        <v>29</v>
      </c>
      <c r="I29" s="103" t="str">
        <f>+IF(VLOOKUP(A29,'Estado SCI'!$A$16:$G$59,7,0)="","",VLOOKUP(A29,'Estado SCI'!$A$16:$G$59,7,0))</f>
        <v>Si</v>
      </c>
      <c r="J29" s="104">
        <f t="shared" si="2"/>
        <v>1</v>
      </c>
      <c r="K29" s="105">
        <f t="shared" si="1"/>
        <v>0.9285714285714286</v>
      </c>
    </row>
    <row r="30" spans="1:11" ht="15" customHeight="1" x14ac:dyDescent="0.25">
      <c r="A30" s="103" t="s">
        <v>142</v>
      </c>
      <c r="B30" s="103" t="s">
        <v>65</v>
      </c>
      <c r="C30" s="103" t="s">
        <v>76</v>
      </c>
      <c r="D30" s="103" t="s">
        <v>15</v>
      </c>
      <c r="E30" s="103" t="s">
        <v>68</v>
      </c>
      <c r="F30" s="103" t="str">
        <f>+VLOOKUP(A30,'Estado SCI'!$A$16:$I$59,9,0)</f>
        <v>Mantenimiento del control</v>
      </c>
      <c r="G30" s="103">
        <f>+VLOOKUP(A30,'Estado SCI'!$A$16:$L$59,12,0)</f>
        <v>80.412300000000002</v>
      </c>
      <c r="H30" s="103">
        <f t="shared" si="0"/>
        <v>30</v>
      </c>
      <c r="I30" s="103" t="str">
        <f>+IF(VLOOKUP(A30,'Estado SCI'!$A$16:$G$59,7,0)="","",VLOOKUP(A30,'Estado SCI'!$A$16:$G$59,7,0))</f>
        <v>Si</v>
      </c>
      <c r="J30" s="104">
        <f t="shared" si="2"/>
        <v>1</v>
      </c>
      <c r="K30" s="105">
        <f t="shared" si="1"/>
        <v>0.9285714285714286</v>
      </c>
    </row>
    <row r="31" spans="1:11" ht="15.75" customHeight="1" x14ac:dyDescent="0.25">
      <c r="A31" s="103" t="s">
        <v>143</v>
      </c>
      <c r="B31" s="103" t="s">
        <v>65</v>
      </c>
      <c r="C31" s="103" t="s">
        <v>76</v>
      </c>
      <c r="D31" s="103" t="s">
        <v>18</v>
      </c>
      <c r="E31" s="103" t="s">
        <v>69</v>
      </c>
      <c r="F31" s="103" t="str">
        <f>+VLOOKUP(A31,'Estado SCI'!$A$16:$I$59,9,0)</f>
        <v>Mantenimiento del control</v>
      </c>
      <c r="G31" s="103">
        <f>+VLOOKUP(A31,'Estado SCI'!$A$16:$L$59,12,0)</f>
        <v>80.41234</v>
      </c>
      <c r="H31" s="103">
        <f t="shared" si="0"/>
        <v>31</v>
      </c>
      <c r="I31" s="103" t="str">
        <f>+IF(VLOOKUP(A31,'Estado SCI'!$A$16:$G$59,7,0)="","",VLOOKUP(A31,'Estado SCI'!$A$16:$G$59,7,0))</f>
        <v>Si</v>
      </c>
      <c r="J31" s="104">
        <f t="shared" si="2"/>
        <v>1</v>
      </c>
      <c r="K31" s="105">
        <f t="shared" si="1"/>
        <v>0.9285714285714286</v>
      </c>
    </row>
    <row r="32" spans="1:11" x14ac:dyDescent="0.25">
      <c r="A32" s="103" t="s">
        <v>144</v>
      </c>
      <c r="B32" s="103" t="s">
        <v>65</v>
      </c>
      <c r="C32" s="103" t="s">
        <v>82</v>
      </c>
      <c r="D32" s="103" t="s">
        <v>20</v>
      </c>
      <c r="E32" s="103" t="s">
        <v>70</v>
      </c>
      <c r="F32" s="103" t="str">
        <f>+VLOOKUP(A32,'Estado SCI'!$A$16:$I$59,9,0)</f>
        <v>Mantenimiento del control</v>
      </c>
      <c r="G32" s="103">
        <f>+VLOOKUP(A32,'Estado SCI'!$A$16:$L$59,12,0)</f>
        <v>80.412345000000002</v>
      </c>
      <c r="H32" s="103">
        <f t="shared" si="0"/>
        <v>32</v>
      </c>
      <c r="I32" s="103" t="str">
        <f>+IF(VLOOKUP(A32,'Estado SCI'!$A$16:$G$59,7,0)="","",VLOOKUP(A32,'Estado SCI'!$A$16:$G$59,7,0))</f>
        <v>Si</v>
      </c>
      <c r="J32" s="104">
        <f t="shared" si="2"/>
        <v>1</v>
      </c>
      <c r="K32" s="105">
        <f t="shared" si="1"/>
        <v>0.9285714285714286</v>
      </c>
    </row>
    <row r="33" spans="1:11" x14ac:dyDescent="0.25">
      <c r="A33" s="103" t="s">
        <v>145</v>
      </c>
      <c r="B33" s="103" t="s">
        <v>65</v>
      </c>
      <c r="C33" s="103" t="s">
        <v>146</v>
      </c>
      <c r="D33" s="103" t="s">
        <v>22</v>
      </c>
      <c r="E33" s="103" t="s">
        <v>71</v>
      </c>
      <c r="F33" s="103" t="str">
        <f>+VLOOKUP(A33,'Estado SCI'!$A$16:$I$59,9,0)</f>
        <v>Mantenimiento del control</v>
      </c>
      <c r="G33" s="103">
        <f>+VLOOKUP(A33,'Estado SCI'!$A$16:$L$59,12,0)</f>
        <v>80.412345599999995</v>
      </c>
      <c r="H33" s="103">
        <f t="shared" si="0"/>
        <v>33</v>
      </c>
      <c r="I33" s="103" t="str">
        <f>+IF(VLOOKUP(A33,'Estado SCI'!$A$16:$G$59,7,0)="","",VLOOKUP(A33,'Estado SCI'!$A$16:$G$59,7,0))</f>
        <v>Si</v>
      </c>
      <c r="J33" s="104">
        <f t="shared" si="2"/>
        <v>1</v>
      </c>
      <c r="K33" s="105">
        <f t="shared" si="1"/>
        <v>0.9285714285714286</v>
      </c>
    </row>
    <row r="34" spans="1:11" x14ac:dyDescent="0.25">
      <c r="A34" s="103" t="s">
        <v>147</v>
      </c>
      <c r="B34" s="103" t="s">
        <v>65</v>
      </c>
      <c r="C34" s="103" t="s">
        <v>146</v>
      </c>
      <c r="D34" s="103" t="s">
        <v>24</v>
      </c>
      <c r="E34" s="103" t="s">
        <v>72</v>
      </c>
      <c r="F34" s="103" t="str">
        <f>+VLOOKUP(A34,'Estado SCI'!$A$16:$I$59,9,0)</f>
        <v>Mantenimiento del control</v>
      </c>
      <c r="G34" s="103">
        <f>+VLOOKUP(A34,'Estado SCI'!$A$16:$L$59,12,0)</f>
        <v>80.412345669999993</v>
      </c>
      <c r="H34" s="103">
        <f t="shared" si="0"/>
        <v>34</v>
      </c>
      <c r="I34" s="103" t="str">
        <f>+IF(VLOOKUP(A34,'Estado SCI'!$A$16:$G$59,7,0)="","",VLOOKUP(A34,'Estado SCI'!$A$16:$G$59,7,0))</f>
        <v>Si</v>
      </c>
      <c r="J34" s="104">
        <f t="shared" si="2"/>
        <v>1</v>
      </c>
      <c r="K34" s="105">
        <f t="shared" si="1"/>
        <v>0.9285714285714286</v>
      </c>
    </row>
    <row r="35" spans="1:11" x14ac:dyDescent="0.25">
      <c r="A35" s="103" t="s">
        <v>148</v>
      </c>
      <c r="B35" s="103" t="s">
        <v>65</v>
      </c>
      <c r="C35" s="103" t="s">
        <v>146</v>
      </c>
      <c r="D35" s="103" t="s">
        <v>26</v>
      </c>
      <c r="E35" s="103" t="s">
        <v>73</v>
      </c>
      <c r="F35" s="103" t="str">
        <f>+VLOOKUP(A35,'Estado SCI'!$A$16:$I$59,9,0)</f>
        <v>Oportunidad de mejora</v>
      </c>
      <c r="G35" s="103">
        <f>+VLOOKUP(A35,'Estado SCI'!$A$16:$L$59,12,0)</f>
        <v>70.412345677999994</v>
      </c>
      <c r="H35" s="103">
        <f t="shared" si="0"/>
        <v>28</v>
      </c>
      <c r="I35" s="103" t="str">
        <f>+IF(VLOOKUP(A35,'Estado SCI'!$A$16:$G$59,7,0)="","",VLOOKUP(A35,'Estado SCI'!$A$16:$G$59,7,0))</f>
        <v>En proceso</v>
      </c>
      <c r="J35" s="104">
        <f t="shared" si="2"/>
        <v>0.5</v>
      </c>
      <c r="K35" s="105">
        <f t="shared" si="1"/>
        <v>0.9285714285714286</v>
      </c>
    </row>
    <row r="36" spans="1:11" x14ac:dyDescent="0.25">
      <c r="A36" s="103" t="s">
        <v>149</v>
      </c>
      <c r="B36" s="103" t="str">
        <f>+VLOOKUP(A36,'Estado SCI'!$A$16:$C$59,3,0)</f>
        <v>ACTIVIDADES DE MONITOREO</v>
      </c>
      <c r="C36" s="103" t="s">
        <v>146</v>
      </c>
      <c r="D36" s="103" t="s">
        <v>12</v>
      </c>
      <c r="E36" s="103" t="s">
        <v>77</v>
      </c>
      <c r="F36" s="103" t="str">
        <f>+VLOOKUP(A36,'Estado SCI'!$A$16:$I$59,9,0)</f>
        <v>Mantenimiento del control</v>
      </c>
      <c r="G36" s="103">
        <f>+VLOOKUP(A36,'Estado SCI'!$A$16:$L$59,12,0)</f>
        <v>120.851</v>
      </c>
      <c r="H36" s="103">
        <f t="shared" si="0"/>
        <v>41</v>
      </c>
      <c r="I36" s="103" t="str">
        <f>+IF(VLOOKUP(A36,'Estado SCI'!$A$16:$G$59,7,0)="","",VLOOKUP(A36,'Estado SCI'!$A$16:$G$59,7,0))</f>
        <v>Si</v>
      </c>
      <c r="J36" s="104">
        <f t="shared" si="2"/>
        <v>1</v>
      </c>
      <c r="K36" s="105">
        <f t="shared" si="1"/>
        <v>0.65</v>
      </c>
    </row>
    <row r="37" spans="1:11" x14ac:dyDescent="0.25">
      <c r="A37" s="103" t="s">
        <v>150</v>
      </c>
      <c r="B37" s="103" t="s">
        <v>75</v>
      </c>
      <c r="C37" s="103" t="s">
        <v>146</v>
      </c>
      <c r="D37" s="103" t="s">
        <v>20</v>
      </c>
      <c r="E37" s="103" t="s">
        <v>78</v>
      </c>
      <c r="F37" s="103" t="str">
        <f>+VLOOKUP(A37,'Estado SCI'!$A$16:$I$59,9,0)</f>
        <v>Oportunidad de mejora</v>
      </c>
      <c r="G37" s="103">
        <f>+VLOOKUP(A37,'Estado SCI'!$A$16:$L$59,12,0)</f>
        <v>100.85120000000001</v>
      </c>
      <c r="H37" s="103">
        <f t="shared" si="0"/>
        <v>36</v>
      </c>
      <c r="I37" s="103" t="str">
        <f>+IF(VLOOKUP(A37,'Estado SCI'!$A$16:$G$59,7,0)="","",VLOOKUP(A37,'Estado SCI'!$A$16:$G$59,7,0))</f>
        <v>En proceso</v>
      </c>
      <c r="J37" s="104">
        <f t="shared" si="2"/>
        <v>0.5</v>
      </c>
      <c r="K37" s="105">
        <f t="shared" si="1"/>
        <v>0.65</v>
      </c>
    </row>
    <row r="38" spans="1:11" x14ac:dyDescent="0.25">
      <c r="A38" s="103" t="s">
        <v>151</v>
      </c>
      <c r="B38" s="103" t="s">
        <v>75</v>
      </c>
      <c r="C38" s="103" t="s">
        <v>46</v>
      </c>
      <c r="D38" s="103" t="s">
        <v>24</v>
      </c>
      <c r="E38" s="103" t="s">
        <v>79</v>
      </c>
      <c r="F38" s="103" t="str">
        <f>+VLOOKUP(A38,'Estado SCI'!$A$16:$I$59,9,0)</f>
        <v>Mantenimiento del control</v>
      </c>
      <c r="G38" s="103">
        <f>+VLOOKUP(A38,'Estado SCI'!$A$16:$L$59,12,0)</f>
        <v>120.85123</v>
      </c>
      <c r="H38" s="103">
        <f t="shared" si="0"/>
        <v>42</v>
      </c>
      <c r="I38" s="103" t="str">
        <f>+IF(VLOOKUP(A38,'Estado SCI'!$A$16:$G$59,7,0)="","",VLOOKUP(A38,'Estado SCI'!$A$16:$G$59,7,0))</f>
        <v>Si</v>
      </c>
      <c r="J38" s="104">
        <f t="shared" si="2"/>
        <v>1</v>
      </c>
      <c r="K38" s="105">
        <f t="shared" si="1"/>
        <v>0.65</v>
      </c>
    </row>
    <row r="39" spans="1:11" x14ac:dyDescent="0.25">
      <c r="A39" s="103" t="s">
        <v>152</v>
      </c>
      <c r="B39" s="103" t="s">
        <v>75</v>
      </c>
      <c r="C39" s="103" t="s">
        <v>46</v>
      </c>
      <c r="D39" s="103" t="s">
        <v>26</v>
      </c>
      <c r="E39" s="103" t="s">
        <v>80</v>
      </c>
      <c r="F39" s="103" t="str">
        <f>+VLOOKUP(A39,'Estado SCI'!$A$16:$I$59,9,0)</f>
        <v>Mantenimiento del control</v>
      </c>
      <c r="G39" s="103">
        <f>+VLOOKUP(A39,'Estado SCI'!$A$16:$L$59,12,0)</f>
        <v>120.85123400000001</v>
      </c>
      <c r="H39" s="103">
        <f t="shared" si="0"/>
        <v>43</v>
      </c>
      <c r="I39" s="103" t="str">
        <f>+IF(VLOOKUP(A39,'Estado SCI'!$A$16:$G$59,7,0)="","",VLOOKUP(A39,'Estado SCI'!$A$16:$G$59,7,0))</f>
        <v>Si</v>
      </c>
      <c r="J39" s="104">
        <f t="shared" si="2"/>
        <v>1</v>
      </c>
      <c r="K39" s="105">
        <f t="shared" si="1"/>
        <v>0.65</v>
      </c>
    </row>
    <row r="40" spans="1:11" x14ac:dyDescent="0.25">
      <c r="A40" s="103" t="s">
        <v>153</v>
      </c>
      <c r="B40" s="103" t="s">
        <v>75</v>
      </c>
      <c r="C40" s="103" t="s">
        <v>46</v>
      </c>
      <c r="D40" s="103" t="s">
        <v>28</v>
      </c>
      <c r="E40" s="103" t="s">
        <v>83</v>
      </c>
      <c r="F40" s="103" t="str">
        <f>+VLOOKUP(A40,'Estado SCI'!$A$16:$I$59,9,0)</f>
        <v>Deficiencia de control</v>
      </c>
      <c r="G40" s="103">
        <f>+VLOOKUP(A40,'Estado SCI'!$A$16:$L$59,12,0)</f>
        <v>80.851234500000004</v>
      </c>
      <c r="H40" s="103">
        <f t="shared" si="0"/>
        <v>35</v>
      </c>
      <c r="I40" s="103" t="str">
        <f>+IF(VLOOKUP(A40,'Estado SCI'!$A$16:$G$59,7,0)="","",VLOOKUP(A40,'Estado SCI'!$A$16:$G$59,7,0))</f>
        <v>No</v>
      </c>
      <c r="J40" s="104">
        <f t="shared" si="2"/>
        <v>0</v>
      </c>
      <c r="K40" s="105">
        <f t="shared" si="1"/>
        <v>0.65</v>
      </c>
    </row>
    <row r="41" spans="1:11" x14ac:dyDescent="0.25">
      <c r="A41" s="103" t="s">
        <v>154</v>
      </c>
      <c r="B41" s="103" t="s">
        <v>75</v>
      </c>
      <c r="C41" s="103" t="s">
        <v>46</v>
      </c>
      <c r="D41" s="103" t="s">
        <v>12</v>
      </c>
      <c r="E41" s="103" t="s">
        <v>86</v>
      </c>
      <c r="F41" s="103" t="str">
        <f>+VLOOKUP(A41,'Estado SCI'!$A$16:$I$59,9,0)</f>
        <v>Mantenimiento del control</v>
      </c>
      <c r="G41" s="103">
        <f>+VLOOKUP(A41,'Estado SCI'!$A$16:$L$59,12,0)</f>
        <v>120.85123455999999</v>
      </c>
      <c r="H41" s="103">
        <f t="shared" si="0"/>
        <v>44</v>
      </c>
      <c r="I41" s="103" t="str">
        <f>+IF(VLOOKUP(A41,'Estado SCI'!$A$16:$G$59,7,0)="","",VLOOKUP(A41,'Estado SCI'!$A$16:$G$59,7,0))</f>
        <v>Si</v>
      </c>
      <c r="J41" s="104">
        <f t="shared" si="2"/>
        <v>1</v>
      </c>
      <c r="K41" s="105">
        <f t="shared" si="1"/>
        <v>0.65</v>
      </c>
    </row>
    <row r="42" spans="1:11" x14ac:dyDescent="0.25">
      <c r="A42" s="103" t="s">
        <v>155</v>
      </c>
      <c r="B42" s="103" t="s">
        <v>75</v>
      </c>
      <c r="C42" s="103" t="s">
        <v>51</v>
      </c>
      <c r="D42" s="103" t="s">
        <v>15</v>
      </c>
      <c r="E42" s="103" t="s">
        <v>87</v>
      </c>
      <c r="F42" s="103" t="str">
        <f>+VLOOKUP(A42,'Estado SCI'!$A$16:$I$59,9,0)</f>
        <v>Oportunidad de mejora</v>
      </c>
      <c r="G42" s="103">
        <f>+VLOOKUP(A42,'Estado SCI'!$A$16:$L$59,12,0)</f>
        <v>100.85123456700001</v>
      </c>
      <c r="H42" s="103">
        <f t="shared" si="0"/>
        <v>37</v>
      </c>
      <c r="I42" s="103" t="str">
        <f>+IF(VLOOKUP(A42,'Estado SCI'!$A$16:$G$59,7,0)="","",VLOOKUP(A42,'Estado SCI'!$A$16:$G$59,7,0))</f>
        <v>En proceso</v>
      </c>
      <c r="J42" s="104">
        <f t="shared" si="2"/>
        <v>0.5</v>
      </c>
      <c r="K42" s="105">
        <f t="shared" si="1"/>
        <v>0.65</v>
      </c>
    </row>
    <row r="43" spans="1:11" x14ac:dyDescent="0.25">
      <c r="A43" s="103" t="s">
        <v>156</v>
      </c>
      <c r="B43" s="103" t="s">
        <v>75</v>
      </c>
      <c r="C43" s="103" t="s">
        <v>51</v>
      </c>
      <c r="D43" s="103" t="s">
        <v>18</v>
      </c>
      <c r="E43" s="103" t="s">
        <v>88</v>
      </c>
      <c r="F43" s="103" t="str">
        <f>+VLOOKUP(A43,'Estado SCI'!$A$16:$I$59,9,0)</f>
        <v>Oportunidad de mejora</v>
      </c>
      <c r="G43" s="103">
        <f>+VLOOKUP(A43,'Estado SCI'!$A$16:$L$59,12,0)</f>
        <v>100.85123456780001</v>
      </c>
      <c r="H43" s="103">
        <f t="shared" si="0"/>
        <v>38</v>
      </c>
      <c r="I43" s="103" t="str">
        <f>+IF(VLOOKUP(A43,'Estado SCI'!$A$16:$G$59,7,0)="","",VLOOKUP(A43,'Estado SCI'!$A$16:$G$59,7,0))</f>
        <v>En proceso</v>
      </c>
      <c r="J43" s="104">
        <f t="shared" si="2"/>
        <v>0.5</v>
      </c>
      <c r="K43" s="105">
        <f t="shared" si="1"/>
        <v>0.65</v>
      </c>
    </row>
    <row r="44" spans="1:11" x14ac:dyDescent="0.25">
      <c r="A44" s="103" t="s">
        <v>157</v>
      </c>
      <c r="B44" s="103" t="s">
        <v>75</v>
      </c>
      <c r="C44" s="103" t="s">
        <v>51</v>
      </c>
      <c r="D44" s="103" t="s">
        <v>20</v>
      </c>
      <c r="E44" s="103" t="s">
        <v>89</v>
      </c>
      <c r="F44" s="103" t="str">
        <f>+VLOOKUP(A44,'Estado SCI'!$A$16:$I$59,9,0)</f>
        <v>Oportunidad de mejora</v>
      </c>
      <c r="G44" s="103">
        <f>+VLOOKUP(A44,'Estado SCI'!$A$16:$L$59,12,0)</f>
        <v>100.85123456789</v>
      </c>
      <c r="H44" s="103">
        <f t="shared" si="0"/>
        <v>39</v>
      </c>
      <c r="I44" s="103" t="str">
        <f>+IF(VLOOKUP(A44,'Estado SCI'!$A$16:$G$59,7,0)="","",VLOOKUP(A44,'Estado SCI'!$A$16:$G$59,7,0))</f>
        <v>En proceso</v>
      </c>
      <c r="J44" s="104">
        <f t="shared" si="2"/>
        <v>0.5</v>
      </c>
      <c r="K44" s="105">
        <f t="shared" si="1"/>
        <v>0.65</v>
      </c>
    </row>
    <row r="45" spans="1:11" x14ac:dyDescent="0.25">
      <c r="A45" s="103" t="s">
        <v>158</v>
      </c>
      <c r="B45" s="103" t="s">
        <v>75</v>
      </c>
      <c r="C45" s="103" t="s">
        <v>51</v>
      </c>
      <c r="D45" s="103" t="s">
        <v>22</v>
      </c>
      <c r="E45" s="103" t="s">
        <v>90</v>
      </c>
      <c r="F45" s="103" t="str">
        <f>+VLOOKUP(A45,'Estado SCI'!$A$16:$I$59,9,0)</f>
        <v>Oportunidad de mejora</v>
      </c>
      <c r="G45" s="103">
        <f>+VLOOKUP(A45,'Estado SCI'!$A$16:$L$59,12,0)</f>
        <v>100.851234567891</v>
      </c>
      <c r="H45" s="103">
        <f t="shared" si="0"/>
        <v>40</v>
      </c>
      <c r="I45" s="103" t="str">
        <f>+IF(VLOOKUP(A45,'Estado SCI'!$A$16:$G$59,7,0)="","",VLOOKUP(A45,'Estado SCI'!$A$16:$G$59,7,0))</f>
        <v>En proceso</v>
      </c>
      <c r="J45" s="104">
        <f t="shared" si="2"/>
        <v>0.5</v>
      </c>
      <c r="K45" s="105">
        <f t="shared" si="1"/>
        <v>0.65</v>
      </c>
    </row>
  </sheetData>
  <sheetProtection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Estado SCI</vt:lpstr>
      <vt:lpstr>Conclusión</vt:lpstr>
      <vt:lpstr>Hoja1</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equipo8</cp:lastModifiedBy>
  <cp:revision/>
  <dcterms:created xsi:type="dcterms:W3CDTF">2020-04-28T13:58:09Z</dcterms:created>
  <dcterms:modified xsi:type="dcterms:W3CDTF">2021-02-22T14:17:14Z</dcterms:modified>
</cp:coreProperties>
</file>